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Work\Negotiations\2026 Puget Sound Prof &amp; Tech\Costing\"/>
    </mc:Choice>
  </mc:AlternateContent>
  <xr:revisionPtr revIDLastSave="0" documentId="13_ncr:1_{63DD4422-507A-4E06-956E-578D600AEEE2}" xr6:coauthVersionLast="47" xr6:coauthVersionMax="47" xr10:uidLastSave="{00000000-0000-0000-0000-000000000000}"/>
  <workbookProtection workbookAlgorithmName="SHA-512" workbookHashValue="ws1fjTJa+VFEWDZIPPejnkBmz11hX3PB69ew4xQzmQ8owxNhXf+fZKuF9JAShi9PY3bLVcv1kC901HpbXzq3iA==" workbookSaltValue="8UHhKgEIf5KnseAQHSS5jg==" workbookSpinCount="100000" lockStructure="1"/>
  <bookViews>
    <workbookView xWindow="-108" yWindow="-108" windowWidth="23256" windowHeight="13896" xr2:uid="{00E81195-7620-4E50-AF74-757027489EF1}"/>
  </bookViews>
  <sheets>
    <sheet name="Inputs and Summary" sheetId="3" r:id="rId1"/>
    <sheet name="EIP History" sheetId="8" r:id="rId2"/>
    <sheet name="Overtime" sheetId="12" state="hidden" r:id="rId3"/>
    <sheet name="Skill Code and Units" sheetId="2" r:id="rId4"/>
    <sheet name="Chart Data and Data Validation" sheetId="11" state="hidden" r:id="rId5"/>
    <sheet name="SJC data" sheetId="1" state="hidden" r:id="rId6"/>
  </sheets>
  <definedNames>
    <definedName name="_xlnm._FilterDatabase" localSheetId="5" hidden="1">'SJC data'!$B$2:$I$276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8" i="3" l="1"/>
  <c r="D28" i="3"/>
  <c r="B8" i="3" l="1"/>
  <c r="F29" i="3"/>
  <c r="H29" i="3" s="1"/>
  <c r="E29" i="3"/>
  <c r="D29" i="3"/>
  <c r="C24" i="3"/>
  <c r="B24" i="3"/>
  <c r="A28" i="3" l="1"/>
  <c r="C6" i="3"/>
  <c r="C63" i="11" l="1"/>
  <c r="C62" i="11" l="1"/>
  <c r="B23" i="3"/>
  <c r="A26" i="3"/>
  <c r="D2" i="3"/>
  <c r="D63" i="11"/>
  <c r="E63" i="11" s="1"/>
  <c r="F39" i="12"/>
  <c r="E39" i="12"/>
  <c r="D39" i="12"/>
  <c r="C39" i="12"/>
  <c r="D11" i="12"/>
  <c r="C11" i="12"/>
  <c r="B7" i="3"/>
  <c r="C7" i="3" s="1"/>
  <c r="E18" i="3"/>
  <c r="F18" i="3"/>
  <c r="G18" i="3"/>
  <c r="D18" i="3"/>
  <c r="D19" i="3" s="1"/>
  <c r="D20" i="3" s="1"/>
  <c r="C5" i="3"/>
  <c r="B19" i="3" s="1"/>
  <c r="B18" i="3"/>
  <c r="B20" i="3" s="1"/>
  <c r="B17" i="3"/>
  <c r="C64" i="11" s="1"/>
  <c r="E5" i="2"/>
  <c r="I4" i="8"/>
  <c r="I5" i="8"/>
  <c r="J5" i="8"/>
  <c r="K5" i="8"/>
  <c r="L5" i="8"/>
  <c r="I6" i="8"/>
  <c r="J6" i="8"/>
  <c r="K6" i="8"/>
  <c r="L6" i="8"/>
  <c r="I7" i="8"/>
  <c r="J7" i="8"/>
  <c r="K7" i="8"/>
  <c r="L7" i="8"/>
  <c r="E6" i="2"/>
  <c r="F24" i="2"/>
  <c r="G24" i="2" s="1"/>
  <c r="F23" i="2"/>
  <c r="G23" i="2" s="1"/>
  <c r="H23" i="2" s="1"/>
  <c r="F22" i="2"/>
  <c r="G22" i="2" s="1"/>
  <c r="H22" i="2" s="1"/>
  <c r="F17" i="2"/>
  <c r="G17" i="2" s="1"/>
  <c r="H17" i="2" s="1"/>
  <c r="F18" i="2"/>
  <c r="G18" i="2" s="1"/>
  <c r="H18" i="2" s="1"/>
  <c r="F16" i="2"/>
  <c r="G16" i="2" s="1"/>
  <c r="H16" i="2" s="1"/>
  <c r="D62" i="11" l="1"/>
  <c r="E62" i="11" s="1"/>
  <c r="F63" i="11" s="1"/>
  <c r="B26" i="3" s="1"/>
  <c r="B30" i="3"/>
  <c r="D64" i="11"/>
  <c r="E64" i="11" s="1"/>
  <c r="F64" i="11" s="1"/>
  <c r="D26" i="3" s="1"/>
  <c r="B21" i="3"/>
  <c r="E21" i="3"/>
  <c r="D21" i="3"/>
  <c r="F21" i="3"/>
  <c r="G21" i="3"/>
  <c r="C25" i="3"/>
  <c r="B25" i="3"/>
  <c r="C28" i="3"/>
  <c r="C27" i="3"/>
  <c r="B27" i="3"/>
  <c r="E19" i="3"/>
  <c r="E20" i="3" s="1"/>
  <c r="H24" i="2"/>
  <c r="I24" i="2" s="1"/>
  <c r="I23" i="2"/>
  <c r="I22" i="2"/>
  <c r="I17" i="2"/>
  <c r="I18" i="2"/>
  <c r="I16" i="2"/>
  <c r="F19" i="3"/>
  <c r="F20" i="3" s="1"/>
  <c r="E11" i="2"/>
  <c r="E9" i="2"/>
  <c r="F9" i="2" s="1"/>
  <c r="G9" i="2" s="1"/>
  <c r="H9" i="2" s="1"/>
  <c r="I9" i="2" s="1"/>
  <c r="J9" i="2" s="1"/>
  <c r="E8" i="2"/>
  <c r="F8" i="2" s="1"/>
  <c r="G8" i="2" s="1"/>
  <c r="H8" i="2" s="1"/>
  <c r="I8" i="2" s="1"/>
  <c r="J8" i="2" s="1"/>
  <c r="E10" i="2"/>
  <c r="F10" i="2" s="1"/>
  <c r="G10" i="2" s="1"/>
  <c r="H10" i="2" s="1"/>
  <c r="I10" i="2" s="1"/>
  <c r="E12" i="2"/>
  <c r="F12" i="2" s="1"/>
  <c r="G12" i="2" s="1"/>
  <c r="H12" i="2" s="1"/>
  <c r="I12" i="2" s="1"/>
  <c r="C12" i="2"/>
  <c r="F6" i="2"/>
  <c r="G6" i="2" s="1"/>
  <c r="F15" i="2"/>
  <c r="G15" i="2" s="1"/>
  <c r="D17" i="3"/>
  <c r="F21" i="2"/>
  <c r="F11" i="2" l="1"/>
  <c r="G11" i="2" s="1"/>
  <c r="H11" i="2" s="1"/>
  <c r="I11" i="2" s="1"/>
  <c r="J11" i="2" s="1"/>
  <c r="B31" i="3"/>
  <c r="C65" i="11"/>
  <c r="D65" i="11" s="1"/>
  <c r="E65" i="11" s="1"/>
  <c r="F65" i="11" s="1"/>
  <c r="E26" i="3" s="1"/>
  <c r="G19" i="3"/>
  <c r="G20" i="3" s="1"/>
  <c r="H15" i="2"/>
  <c r="I15" i="2" s="1"/>
  <c r="H6" i="2"/>
  <c r="I6" i="2" s="1"/>
  <c r="J10" i="2"/>
  <c r="J12" i="2"/>
  <c r="J24" i="2"/>
  <c r="J23" i="2"/>
  <c r="J22" i="2"/>
  <c r="J17" i="2"/>
  <c r="J18" i="2"/>
  <c r="J16" i="2"/>
  <c r="D23" i="3"/>
  <c r="D27" i="3"/>
  <c r="E17" i="3"/>
  <c r="G21" i="2"/>
  <c r="D34" i="3" l="1"/>
  <c r="C66" i="11"/>
  <c r="D66" i="11" s="1"/>
  <c r="E66" i="11" s="1"/>
  <c r="F66" i="11" s="1"/>
  <c r="F26" i="3" s="1"/>
  <c r="E28" i="3"/>
  <c r="D25" i="3"/>
  <c r="D30" i="3"/>
  <c r="J6" i="2"/>
  <c r="J15" i="2"/>
  <c r="E23" i="3"/>
  <c r="E34" i="3" s="1"/>
  <c r="E27" i="3"/>
  <c r="F17" i="3"/>
  <c r="H21" i="2"/>
  <c r="C67" i="11" l="1"/>
  <c r="D67" i="11" s="1"/>
  <c r="E67" i="11" s="1"/>
  <c r="F67" i="11" s="1"/>
  <c r="F28" i="3"/>
  <c r="D31" i="3"/>
  <c r="E25" i="3"/>
  <c r="E30" i="3"/>
  <c r="F23" i="3"/>
  <c r="F34" i="3" s="1"/>
  <c r="F27" i="3"/>
  <c r="G17" i="3"/>
  <c r="I21" i="2"/>
  <c r="G26" i="3" l="1"/>
  <c r="H26" i="3" s="1"/>
  <c r="H18" i="3"/>
  <c r="C68" i="11"/>
  <c r="D68" i="11" s="1"/>
  <c r="E68" i="11" s="1"/>
  <c r="F68" i="11" s="1"/>
  <c r="E31" i="3"/>
  <c r="F25" i="3"/>
  <c r="F30" i="3"/>
  <c r="G23" i="3"/>
  <c r="G27" i="3"/>
  <c r="H27" i="3" s="1"/>
  <c r="H17" i="3"/>
  <c r="J21" i="2"/>
  <c r="G34" i="3" l="1"/>
  <c r="H23" i="3"/>
  <c r="G28" i="3"/>
  <c r="H28" i="3" s="1"/>
  <c r="F31" i="3"/>
  <c r="G25" i="3"/>
  <c r="H25" i="3" s="1"/>
  <c r="G30" i="3"/>
  <c r="H30" i="3" s="1"/>
  <c r="H31" i="3" l="1"/>
  <c r="G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tc={6888BFFF-7B83-4795-A6C8-D99D337217BF}</author>
    <author>tc={9DC7E7B2-2778-4C38-B663-834F351DE3AE}</author>
  </authors>
  <commentList>
    <comment ref="A6" authorId="0" shapeId="0" xr:uid="{6888BFFF-7B83-4795-A6C8-D99D337217BF}">
      <text>
        <t>[Threaded comment]
Your version of Excel allows you to read this threaded comment; however, any edits to it will get removed if the file is opened in a newer version of Excel. Learn more: https://go.microsoft.com/fwlink/?linkid=870924
Comment:
    (Prof @ T+$8.50, Tech = Time x 1.75 (1/2 OT, 1/2 DT))</t>
      </text>
    </comment>
    <comment ref="B22" authorId="1" shapeId="0" xr:uid="{9DC7E7B2-2778-4C38-B663-834F351DE3AE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Assumes Ratified in August, Retro in 9/24 Payday</t>
      </text>
    </comment>
  </commentList>
</comments>
</file>

<file path=xl/sharedStrings.xml><?xml version="1.0" encoding="utf-8"?>
<sst xmlns="http://schemas.openxmlformats.org/spreadsheetml/2006/main" count="776" uniqueCount="452">
  <si>
    <t>6B1B-1</t>
  </si>
  <si>
    <t>6B1B-2</t>
  </si>
  <si>
    <t>6B1B-3</t>
  </si>
  <si>
    <t>6B1B-4</t>
  </si>
  <si>
    <t>6B1B-5</t>
  </si>
  <si>
    <t>6B1B-6</t>
  </si>
  <si>
    <t>6B1C-1</t>
  </si>
  <si>
    <t>6B1C-2</t>
  </si>
  <si>
    <t>6B1C-3</t>
  </si>
  <si>
    <t>6B1C-4</t>
  </si>
  <si>
    <t>6B1C-5</t>
  </si>
  <si>
    <t>6B1D-1</t>
  </si>
  <si>
    <t>6B1D-2</t>
  </si>
  <si>
    <t>6B1D-3</t>
  </si>
  <si>
    <t>6B1D-4</t>
  </si>
  <si>
    <t>6B1D-5</t>
  </si>
  <si>
    <t>6B1E-1</t>
  </si>
  <si>
    <t>6B1E-2</t>
  </si>
  <si>
    <t>6B1E-3</t>
  </si>
  <si>
    <t>6B1E-4</t>
  </si>
  <si>
    <t>6B1E-5</t>
  </si>
  <si>
    <t>6B1E-6</t>
  </si>
  <si>
    <t>6B1F-2</t>
  </si>
  <si>
    <t>6B1F-3</t>
  </si>
  <si>
    <t>6B1F-4</t>
  </si>
  <si>
    <t>6B1F-5</t>
  </si>
  <si>
    <t>6C1L-4</t>
  </si>
  <si>
    <t>6C1L-5</t>
  </si>
  <si>
    <t>6C1L-6</t>
  </si>
  <si>
    <t>6C1M-2</t>
  </si>
  <si>
    <t>6CH0-2</t>
  </si>
  <si>
    <t>6CH0-3</t>
  </si>
  <si>
    <t>6CH0-4</t>
  </si>
  <si>
    <t>6CH0-5</t>
  </si>
  <si>
    <t>6D2B-2</t>
  </si>
  <si>
    <t>6D2B-3</t>
  </si>
  <si>
    <t>6D2B-4</t>
  </si>
  <si>
    <t>6D2B-5</t>
  </si>
  <si>
    <t>6D2D-3</t>
  </si>
  <si>
    <t>6D2D-4</t>
  </si>
  <si>
    <t>6D2E-2</t>
  </si>
  <si>
    <t>6D2E-3</t>
  </si>
  <si>
    <t>6D2E-4</t>
  </si>
  <si>
    <t>6D2E-5</t>
  </si>
  <si>
    <t>6D2G-3</t>
  </si>
  <si>
    <t>6D2G-4</t>
  </si>
  <si>
    <t>6D2H-2</t>
  </si>
  <si>
    <t>6D2H-3</t>
  </si>
  <si>
    <t>6D2H-4</t>
  </si>
  <si>
    <t>6D2H-5</t>
  </si>
  <si>
    <t>6E3B-1</t>
  </si>
  <si>
    <t>6E3B-2</t>
  </si>
  <si>
    <t>6E3B-3</t>
  </si>
  <si>
    <t>6E3B-4</t>
  </si>
  <si>
    <t>6E3B-5</t>
  </si>
  <si>
    <t>6E3B-6</t>
  </si>
  <si>
    <t>6E3C-1</t>
  </si>
  <si>
    <t>6E3C-2</t>
  </si>
  <si>
    <t>6E3C-3</t>
  </si>
  <si>
    <t>6E3C-4</t>
  </si>
  <si>
    <t>6E3C-5</t>
  </si>
  <si>
    <t>6E3C-6</t>
  </si>
  <si>
    <t>6E3D-1</t>
  </si>
  <si>
    <t>6E3D-2</t>
  </si>
  <si>
    <t>6E3D-3</t>
  </si>
  <si>
    <t>6E3D-4</t>
  </si>
  <si>
    <t>6E3D-5</t>
  </si>
  <si>
    <t>6E3D-6</t>
  </si>
  <si>
    <t>6E3E-1</t>
  </si>
  <si>
    <t>6E3E-2</t>
  </si>
  <si>
    <t>6E3E-3</t>
  </si>
  <si>
    <t>6E3E-4</t>
  </si>
  <si>
    <t>6E3E-5</t>
  </si>
  <si>
    <t>6E3F-2</t>
  </si>
  <si>
    <t>6E3F-3</t>
  </si>
  <si>
    <t>6E3F-4</t>
  </si>
  <si>
    <t>6E3F-5</t>
  </si>
  <si>
    <t>6E3G-2</t>
  </si>
  <si>
    <t>6E3G-3</t>
  </si>
  <si>
    <t>6E3G-4</t>
  </si>
  <si>
    <t>6E3G-5</t>
  </si>
  <si>
    <t>6E3G-6</t>
  </si>
  <si>
    <t>6E3J-2</t>
  </si>
  <si>
    <t>6E3J-3</t>
  </si>
  <si>
    <t>6E3K-3</t>
  </si>
  <si>
    <t>6E3K-5</t>
  </si>
  <si>
    <t>6E3L-4</t>
  </si>
  <si>
    <t>6E3P-2</t>
  </si>
  <si>
    <t>6E3P-3</t>
  </si>
  <si>
    <t>6E3P-4</t>
  </si>
  <si>
    <t>6E3Q-2</t>
  </si>
  <si>
    <t>6E3Q-3</t>
  </si>
  <si>
    <t>6E3Q-4</t>
  </si>
  <si>
    <t>6E3Q-5</t>
  </si>
  <si>
    <t>6F4B-1</t>
  </si>
  <si>
    <t>6F4B-2</t>
  </si>
  <si>
    <t>6F4B-3</t>
  </si>
  <si>
    <t>6F4B-4</t>
  </si>
  <si>
    <t>6F4B-5</t>
  </si>
  <si>
    <t>6F4B-6</t>
  </si>
  <si>
    <t>6F4C-2</t>
  </si>
  <si>
    <t>6F4C-3</t>
  </si>
  <si>
    <t>6F4C-4</t>
  </si>
  <si>
    <t>6F4C-5</t>
  </si>
  <si>
    <t>6G5B-1</t>
  </si>
  <si>
    <t>6G5B-2</t>
  </si>
  <si>
    <t>6G5B-3</t>
  </si>
  <si>
    <t>6G5B-4</t>
  </si>
  <si>
    <t>6G5B-5</t>
  </si>
  <si>
    <t>6G5B-6</t>
  </si>
  <si>
    <t>6G5C-1</t>
  </si>
  <si>
    <t>6G5C-2</t>
  </si>
  <si>
    <t>6G5C-3</t>
  </si>
  <si>
    <t>6G5C-4</t>
  </si>
  <si>
    <t>6G5C-5</t>
  </si>
  <si>
    <t>6G5C-6</t>
  </si>
  <si>
    <t>6G5D-1</t>
  </si>
  <si>
    <t>6G5D-2</t>
  </si>
  <si>
    <t>6G5D-3</t>
  </si>
  <si>
    <t>6G5D-4</t>
  </si>
  <si>
    <t>6G5D-5</t>
  </si>
  <si>
    <t>6G5D-6</t>
  </si>
  <si>
    <t>6G5E-2</t>
  </si>
  <si>
    <t>6G5E-3</t>
  </si>
  <si>
    <t>6G5E-4</t>
  </si>
  <si>
    <t>6G5E-5</t>
  </si>
  <si>
    <t>6G5F-2</t>
  </si>
  <si>
    <t>6G5F-3</t>
  </si>
  <si>
    <t>6G5F-4</t>
  </si>
  <si>
    <t>6G5I-3</t>
  </si>
  <si>
    <t>6G5I-4</t>
  </si>
  <si>
    <t>6H6B-1</t>
  </si>
  <si>
    <t>6H6B-2</t>
  </si>
  <si>
    <t>6H6B-3</t>
  </si>
  <si>
    <t>6H6B-4</t>
  </si>
  <si>
    <t>6H6B-5</t>
  </si>
  <si>
    <t>6H6B-6</t>
  </si>
  <si>
    <t>6H6F-2</t>
  </si>
  <si>
    <t>6H6F-3</t>
  </si>
  <si>
    <t>6H6F-4</t>
  </si>
  <si>
    <t>6H6F-5</t>
  </si>
  <si>
    <t>6H6G-1</t>
  </si>
  <si>
    <t>6H6G-2</t>
  </si>
  <si>
    <t>6H6G-3</t>
  </si>
  <si>
    <t>6H6G-4</t>
  </si>
  <si>
    <t>6H6G-5</t>
  </si>
  <si>
    <t>6H6H-1</t>
  </si>
  <si>
    <t>6H6H-2</t>
  </si>
  <si>
    <t>6H6H-3</t>
  </si>
  <si>
    <t>6H6H-4</t>
  </si>
  <si>
    <t>6H6H-5</t>
  </si>
  <si>
    <t>6H6H-6</t>
  </si>
  <si>
    <t>6H6P-1</t>
  </si>
  <si>
    <t>6H6P-2</t>
  </si>
  <si>
    <t>6H6P-3</t>
  </si>
  <si>
    <t>6H6P-4</t>
  </si>
  <si>
    <t>6H6P-5</t>
  </si>
  <si>
    <t>6H6P-6</t>
  </si>
  <si>
    <t>6H6Q-2</t>
  </si>
  <si>
    <t>6H6Q-3</t>
  </si>
  <si>
    <t>6H6Q-4</t>
  </si>
  <si>
    <t>6H6Q-5</t>
  </si>
  <si>
    <t>6J7D-1</t>
  </si>
  <si>
    <t>6J7D-2</t>
  </si>
  <si>
    <t>6J7D-3</t>
  </si>
  <si>
    <t>6J7D-4</t>
  </si>
  <si>
    <t>6J7D-5</t>
  </si>
  <si>
    <t>6J7E-2</t>
  </si>
  <si>
    <t>6J7E-3</t>
  </si>
  <si>
    <t>6J7E-4</t>
  </si>
  <si>
    <t>6J7E-5</t>
  </si>
  <si>
    <t>6J7E-6</t>
  </si>
  <si>
    <t>6J7F-3</t>
  </si>
  <si>
    <t>6J7F-4</t>
  </si>
  <si>
    <t>6J7J-2</t>
  </si>
  <si>
    <t>6J7J-3</t>
  </si>
  <si>
    <t>6J7J-4</t>
  </si>
  <si>
    <t>6J7K-3</t>
  </si>
  <si>
    <t>6J7L-4</t>
  </si>
  <si>
    <t>6J7M-3</t>
  </si>
  <si>
    <t>6J7M-4</t>
  </si>
  <si>
    <t>6K8C-1</t>
  </si>
  <si>
    <t>6K8C-2</t>
  </si>
  <si>
    <t>6K8C-3</t>
  </si>
  <si>
    <t>6K8C-4</t>
  </si>
  <si>
    <t>6K8C-5</t>
  </si>
  <si>
    <t>6K8C-6</t>
  </si>
  <si>
    <t>6K8E-4</t>
  </si>
  <si>
    <t>6K8E-5</t>
  </si>
  <si>
    <t>6L9B-1</t>
  </si>
  <si>
    <t>6L9B-2</t>
  </si>
  <si>
    <t>6L9B-3</t>
  </si>
  <si>
    <t>6L9B-4</t>
  </si>
  <si>
    <t>6L9B-5</t>
  </si>
  <si>
    <t>6L9C-2</t>
  </si>
  <si>
    <t>6L9C-3</t>
  </si>
  <si>
    <t>6L9C-4</t>
  </si>
  <si>
    <t>6L9C-5</t>
  </si>
  <si>
    <t>6L9D-3</t>
  </si>
  <si>
    <t>6L9D-4</t>
  </si>
  <si>
    <t>6M04-1</t>
  </si>
  <si>
    <t>6M04-2</t>
  </si>
  <si>
    <t>6M04-3</t>
  </si>
  <si>
    <t>6M04-4</t>
  </si>
  <si>
    <t>6M04-5</t>
  </si>
  <si>
    <t>6M04-6</t>
  </si>
  <si>
    <t>6NKH-1</t>
  </si>
  <si>
    <t>6NKH-2</t>
  </si>
  <si>
    <t>6NKH-3</t>
  </si>
  <si>
    <t>6NKH-4</t>
  </si>
  <si>
    <t>6NKH-5</t>
  </si>
  <si>
    <t>6NKJ-1</t>
  </si>
  <si>
    <t>6NKJ-2</t>
  </si>
  <si>
    <t>6NKJ-3</t>
  </si>
  <si>
    <t>6NKJ-4</t>
  </si>
  <si>
    <t>6NKJ-5</t>
  </si>
  <si>
    <t>6PAS-2</t>
  </si>
  <si>
    <t>6PAS-3</t>
  </si>
  <si>
    <t>6PAS-4</t>
  </si>
  <si>
    <t>6PAS-5</t>
  </si>
  <si>
    <t>6PAT-2</t>
  </si>
  <si>
    <t>6PAT-3</t>
  </si>
  <si>
    <t>6PAT-4</t>
  </si>
  <si>
    <t>6PAT-5</t>
  </si>
  <si>
    <t>6PAW-2</t>
  </si>
  <si>
    <t>6S1N-2</t>
  </si>
  <si>
    <t>6S1N-3</t>
  </si>
  <si>
    <t>6S1N-4</t>
  </si>
  <si>
    <t>6S1Q-4</t>
  </si>
  <si>
    <t>6S1V-3</t>
  </si>
  <si>
    <t>6S1V-4</t>
  </si>
  <si>
    <t>6SGT-1</t>
  </si>
  <si>
    <t>6SGT-2</t>
  </si>
  <si>
    <t>6SGT-3</t>
  </si>
  <si>
    <t>6SGT-4</t>
  </si>
  <si>
    <t>6SGT-5</t>
  </si>
  <si>
    <t>7ABS-4</t>
  </si>
  <si>
    <t>7AED-3</t>
  </si>
  <si>
    <t>7AED-4</t>
  </si>
  <si>
    <t>7AED-5</t>
  </si>
  <si>
    <t>8AAG-4</t>
  </si>
  <si>
    <t>8AAJ-2</t>
  </si>
  <si>
    <t>8AAJ-3</t>
  </si>
  <si>
    <t>8AAJ-4</t>
  </si>
  <si>
    <t>8AAJ-5</t>
  </si>
  <si>
    <t>8AFU-4</t>
  </si>
  <si>
    <t>8ARN-C</t>
  </si>
  <si>
    <t>DA79-2</t>
  </si>
  <si>
    <t>DA79-3</t>
  </si>
  <si>
    <t>DA79-4</t>
  </si>
  <si>
    <t>DA79-5</t>
  </si>
  <si>
    <t>DALP-2</t>
  </si>
  <si>
    <t>DARU-2</t>
  </si>
  <si>
    <t>DARU-3</t>
  </si>
  <si>
    <t>DARU-4</t>
  </si>
  <si>
    <t>DASD-4</t>
  </si>
  <si>
    <t>DASD-5</t>
  </si>
  <si>
    <t>ECBX-2</t>
  </si>
  <si>
    <t>ECBX-3</t>
  </si>
  <si>
    <t>ECBX-4</t>
  </si>
  <si>
    <t>JACF-2</t>
  </si>
  <si>
    <t>JACF-3</t>
  </si>
  <si>
    <t>JACF-4</t>
  </si>
  <si>
    <t>JACF-5</t>
  </si>
  <si>
    <t>JACU-2</t>
  </si>
  <si>
    <t>JACU-3</t>
  </si>
  <si>
    <t>JACU-4</t>
  </si>
  <si>
    <t>JADE-2</t>
  </si>
  <si>
    <t>JADE-3</t>
  </si>
  <si>
    <t>JADE-4</t>
  </si>
  <si>
    <t>JADE-5</t>
  </si>
  <si>
    <t>JAST-2</t>
  </si>
  <si>
    <t>JAST-3</t>
  </si>
  <si>
    <t>JAST-4</t>
  </si>
  <si>
    <t>25th Percentile</t>
  </si>
  <si>
    <t>50th Percentile</t>
  </si>
  <si>
    <t>75th Percentile</t>
  </si>
  <si>
    <t>Skill Code</t>
  </si>
  <si>
    <t>Year 1 Raise Pool</t>
  </si>
  <si>
    <t>Year 2 Raise Pool</t>
  </si>
  <si>
    <t>Year 3 Raise Pool</t>
  </si>
  <si>
    <t>Year 4 Raise Pool</t>
  </si>
  <si>
    <t>Year 1</t>
  </si>
  <si>
    <t xml:space="preserve">Year 2 </t>
  </si>
  <si>
    <t xml:space="preserve">Year 3 </t>
  </si>
  <si>
    <t xml:space="preserve">Year 4 </t>
  </si>
  <si>
    <t xml:space="preserve"> Ratification</t>
  </si>
  <si>
    <t>Data "A" from 5/6/2026</t>
  </si>
  <si>
    <t>Input Your Current Base Pay</t>
  </si>
  <si>
    <t>Select Your Skill Code (all Orgs)</t>
  </si>
  <si>
    <t xml:space="preserve"> (Your skill Code, All ORGs)</t>
  </si>
  <si>
    <t>90th Percentile</t>
  </si>
  <si>
    <t>10th Percentile</t>
  </si>
  <si>
    <t>Headcount</t>
  </si>
  <si>
    <t>Headcount:</t>
  </si>
  <si>
    <t>All Tech Unit (Average Pay)</t>
  </si>
  <si>
    <t>All Prof Unit (Average Pay)</t>
  </si>
  <si>
    <t>only includes skill codes with 5 or more employees at level, Ignores interns</t>
  </si>
  <si>
    <t>Average Prof  0-5 years of service</t>
  </si>
  <si>
    <t>Average Prof 15-20 years of service</t>
  </si>
  <si>
    <t>Average Prof 30+ years of service</t>
  </si>
  <si>
    <t>Average Tech  0-5 years of service</t>
  </si>
  <si>
    <t>Average Tech 15-20 years of service</t>
  </si>
  <si>
    <t>Average Tech  30+ years of service</t>
  </si>
  <si>
    <t>Average Base Pay</t>
  </si>
  <si>
    <t>EIP Target</t>
  </si>
  <si>
    <t>10th Percentile Base Pay</t>
  </si>
  <si>
    <t>25th Percentile Base Pay</t>
  </si>
  <si>
    <t>50th Percentile Base Pay</t>
  </si>
  <si>
    <t>75th Percentile Base Pay</t>
  </si>
  <si>
    <t>90th Percentile Base Pay</t>
  </si>
  <si>
    <t>-3% to -2%</t>
  </si>
  <si>
    <t>-1% to 0%</t>
  </si>
  <si>
    <t>0% to 1%</t>
  </si>
  <si>
    <t>1% to 2%</t>
  </si>
  <si>
    <t>2% to 3%</t>
  </si>
  <si>
    <t>3% to 4%</t>
  </si>
  <si>
    <t>4% to 5%</t>
  </si>
  <si>
    <t>5% to 6%</t>
  </si>
  <si>
    <t>6% to 7%</t>
  </si>
  <si>
    <t>7% to 8%</t>
  </si>
  <si>
    <t>8% to 8%</t>
  </si>
  <si>
    <t>9% to 10%</t>
  </si>
  <si>
    <t>More than 10%</t>
  </si>
  <si>
    <t>Extremely Low 
(23.5% of the time)</t>
  </si>
  <si>
    <t>CPI-W Q3 Change</t>
  </si>
  <si>
    <t>Current Salary</t>
  </si>
  <si>
    <t>Company Performance</t>
  </si>
  <si>
    <t>*Actual Payout Before 2021 converted to percentage by multiplying the performance score x 10 and then dividing by 260</t>
  </si>
  <si>
    <t>10 Days</t>
  </si>
  <si>
    <t>CORP</t>
  </si>
  <si>
    <t>BGS</t>
  </si>
  <si>
    <t>BDS</t>
  </si>
  <si>
    <t>BCA</t>
  </si>
  <si>
    <t>SPEEA 
Target</t>
  </si>
  <si>
    <t>Paid Year</t>
  </si>
  <si>
    <t>Performance Year</t>
  </si>
  <si>
    <t>Actual Payout*</t>
  </si>
  <si>
    <t>Performance Score</t>
  </si>
  <si>
    <t xml:space="preserve"> </t>
  </si>
  <si>
    <t xml:space="preserve">Individual Performance </t>
  </si>
  <si>
    <t>Category</t>
  </si>
  <si>
    <t>Less than 50%</t>
  </si>
  <si>
    <t>50% to 75%</t>
  </si>
  <si>
    <t>75% to 100%</t>
  </si>
  <si>
    <t>125% to 150%</t>
  </si>
  <si>
    <t>more than 150%</t>
  </si>
  <si>
    <t>100% to 125%</t>
  </si>
  <si>
    <t>Extremely Low 
(9.5% of the time)</t>
  </si>
  <si>
    <t>Extremely High 
(14.3% of the time)</t>
  </si>
  <si>
    <t>Pretty Typical 
(76.2% of the time)</t>
  </si>
  <si>
    <t>EIP</t>
  </si>
  <si>
    <t>CPI-W</t>
  </si>
  <si>
    <t>Extremely High 
(13.7% of the time)</t>
  </si>
  <si>
    <t>Pretty Typical 
(62.7% of the time)</t>
  </si>
  <si>
    <t>Typical</t>
  </si>
  <si>
    <t>High</t>
  </si>
  <si>
    <t>Low</t>
  </si>
  <si>
    <t>Bargaining Unit</t>
  </si>
  <si>
    <t>Prof</t>
  </si>
  <si>
    <t>Technical</t>
  </si>
  <si>
    <t>Professional</t>
  </si>
  <si>
    <t>Upon Ratification</t>
  </si>
  <si>
    <t>Total Wage Increase %</t>
  </si>
  <si>
    <t>None</t>
  </si>
  <si>
    <t>Unit</t>
  </si>
  <si>
    <t>P</t>
  </si>
  <si>
    <t>T</t>
  </si>
  <si>
    <t>Impacts</t>
  </si>
  <si>
    <t>Only includes skill codes with 5 or more employees at level, Ignores interns</t>
  </si>
  <si>
    <t>0-5%</t>
  </si>
  <si>
    <t>5-10%</t>
  </si>
  <si>
    <t>10-15%</t>
  </si>
  <si>
    <t>15-20%</t>
  </si>
  <si>
    <t>20-25%</t>
  </si>
  <si>
    <t>25%+</t>
  </si>
  <si>
    <t>Average Hours</t>
  </si>
  <si>
    <t>Overtime</t>
  </si>
  <si>
    <t>Professional 2025 Overtime Hours</t>
  </si>
  <si>
    <t>Tech OT</t>
  </si>
  <si>
    <t>Doubletime</t>
  </si>
  <si>
    <t>Average DT Hours</t>
  </si>
  <si>
    <t>Average OT Hours</t>
  </si>
  <si>
    <t xml:space="preserve">Typical </t>
  </si>
  <si>
    <t>50% EIP Target</t>
  </si>
  <si>
    <t>100% EIP Target</t>
  </si>
  <si>
    <t>150% EIP Target</t>
  </si>
  <si>
    <t>Selective</t>
  </si>
  <si>
    <t>Comments</t>
  </si>
  <si>
    <t>Over 4 Years</t>
  </si>
  <si>
    <t>Inflation (CPI-W Q3)</t>
  </si>
  <si>
    <t>SRT Median</t>
  </si>
  <si>
    <t>SJC CR</t>
  </si>
  <si>
    <t>Entire Skill CompaRatio</t>
  </si>
  <si>
    <r>
      <rPr>
        <b/>
        <i/>
        <u/>
        <sz val="11"/>
        <color theme="0" tint="-0.499984740745262"/>
        <rFont val="Aptos Narrow"/>
        <family val="2"/>
        <scheme val="minor"/>
      </rPr>
      <t xml:space="preserve">Rough Estimates </t>
    </r>
    <r>
      <rPr>
        <sz val="11"/>
        <color theme="0" tint="-0.499984740745262"/>
        <rFont val="Aptos Narrow"/>
        <family val="2"/>
        <scheme val="minor"/>
      </rPr>
      <t>- Same "One Company" Score as PBI &amp; MIP</t>
    </r>
  </si>
  <si>
    <t>Your Current Comparatio (Tier 1)</t>
  </si>
  <si>
    <t>2027 ACR</t>
  </si>
  <si>
    <t>2028 ACR</t>
  </si>
  <si>
    <t>2029 ACR</t>
  </si>
  <si>
    <t>2030 ACR</t>
  </si>
  <si>
    <t>Base Salary</t>
  </si>
  <si>
    <t>Average Hours a year = flows through to EIP (EIP flows to SCRC)</t>
  </si>
  <si>
    <t>Selective Pool (SP)</t>
  </si>
  <si>
    <t>General Wage Increase (GWI)</t>
  </si>
  <si>
    <t xml:space="preserve">Employee Incentive Plan (EIP) </t>
  </si>
  <si>
    <t>You may receive more selective funds because your comparatio is lower than your peers</t>
  </si>
  <si>
    <t>You may receive slightly less  selective funds because your comparatio is slightly higher than your peers</t>
  </si>
  <si>
    <t>You may receive less selective funds because your CR is higher than your peers</t>
  </si>
  <si>
    <t>6% Matching 401k (assumes 8% Base saved)</t>
  </si>
  <si>
    <t>You may receive average selective funds because your comparatio is relatively similar to your peers</t>
  </si>
  <si>
    <t>You may receive slightly more selective funds because your comparatio is  slightly lower than your peers</t>
  </si>
  <si>
    <r>
      <rPr>
        <b/>
        <i/>
        <u/>
        <sz val="11"/>
        <color theme="0" tint="-0.499984740745262"/>
        <rFont val="Aptos Narrow"/>
        <family val="2"/>
        <scheme val="minor"/>
      </rPr>
      <t>Rough Estimates</t>
    </r>
    <r>
      <rPr>
        <sz val="11"/>
        <color theme="0" tint="-0.499984740745262"/>
        <rFont val="Aptos Narrow"/>
        <family val="2"/>
        <scheme val="minor"/>
      </rPr>
      <t xml:space="preserve"> - Company </t>
    </r>
    <r>
      <rPr>
        <b/>
        <sz val="11"/>
        <color rgb="FFFF0000"/>
        <rFont val="Aptos Narrow"/>
        <family val="2"/>
        <scheme val="minor"/>
      </rPr>
      <t>Must</t>
    </r>
    <r>
      <rPr>
        <sz val="11"/>
        <color theme="0" tint="-0.499984740745262"/>
        <rFont val="Aptos Narrow"/>
        <family val="2"/>
        <scheme val="minor"/>
      </rPr>
      <t xml:space="preserve"> Spend Entire Selective Pool</t>
    </r>
  </si>
  <si>
    <t>Raise over 4 years</t>
  </si>
  <si>
    <t>Overtime (determined by Bargaining unit in cell B4)</t>
  </si>
  <si>
    <t>Prof Overtime Premium</t>
  </si>
  <si>
    <t>Your Current Base Salary</t>
  </si>
  <si>
    <t>Your Current Skill Code and Level</t>
  </si>
  <si>
    <t>Prof Average Hours</t>
  </si>
  <si>
    <t>Tech Average OT and DT Hours</t>
  </si>
  <si>
    <t xml:space="preserve">Overtime Worked </t>
  </si>
  <si>
    <t>General Wage Pool (GWI)</t>
  </si>
  <si>
    <t>Year of Birth</t>
  </si>
  <si>
    <t>Age (at end of 2026)</t>
  </si>
  <si>
    <t>Max 3%</t>
  </si>
  <si>
    <t>Retroactive Pay</t>
  </si>
  <si>
    <t>Add'l Pay in 2026</t>
  </si>
  <si>
    <t>Upon Ratification (Retro to 2/20/26)</t>
  </si>
  <si>
    <t>Additional Base Salary</t>
  </si>
  <si>
    <t>1 floating upon ratification, 2 Additional Vacation 2027</t>
  </si>
  <si>
    <t>50% of SEL Pool</t>
  </si>
  <si>
    <t>100% of SEL Pool</t>
  </si>
  <si>
    <t>130% of SEL Pool</t>
  </si>
  <si>
    <t xml:space="preserve">Plus </t>
  </si>
  <si>
    <t>Bereavement if used</t>
  </si>
  <si>
    <t>SCRC</t>
  </si>
  <si>
    <t>10% Pension Conversion Factor increase</t>
  </si>
  <si>
    <t>Increased Dental Maximums</t>
  </si>
  <si>
    <t>Retro &amp;  Additional 2026 Pay</t>
  </si>
  <si>
    <t>Retro Base</t>
  </si>
  <si>
    <t>EIP Eligible 2/10</t>
  </si>
  <si>
    <t>Total yearly  Eligible wage</t>
  </si>
  <si>
    <t>Age</t>
  </si>
  <si>
    <t>2027+ SCRC</t>
  </si>
  <si>
    <t>Pre-2027 SCRC</t>
  </si>
  <si>
    <t>20 year Average (2.6%)</t>
  </si>
  <si>
    <t>Free Healthcare From Primary Care+</t>
  </si>
  <si>
    <t xml:space="preserve"> P/OOS</t>
  </si>
  <si>
    <t>Wage Pools (GWI,  SEL &amp; PFM)</t>
  </si>
  <si>
    <t>40 RSUs (assumes $210 per share)</t>
  </si>
  <si>
    <r>
      <t xml:space="preserve">Selective Wage Pool (Sel) </t>
    </r>
    <r>
      <rPr>
        <sz val="11"/>
        <color rgb="FFFF0000"/>
        <rFont val="Aptos Narrow"/>
        <family val="2"/>
        <scheme val="minor"/>
      </rPr>
      <t>Assumes you do NOT get P/OOS Funds</t>
    </r>
  </si>
  <si>
    <t>Model Impact of Wage Pools (Ignoring Promotional Funds)</t>
  </si>
  <si>
    <t>Assumes no Promotional or OOS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</si>
</sst>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00"/>
    <numFmt numFmtId="170" formatCode="_(* #,##0.000_);_(* \(#,##0.000\);_(* &quot;-&quot;??_);_(@_)"/>
    <numFmt numFmtId="171" formatCode="_(* #,##0.0_);_(* \(#,##0.0\);_(* &quot;-&quot;?_);_(@_)"/>
    <numFmt numFmtId="172" formatCode="0_);\(0\)"/>
    <numFmt numFmtId="173" formatCode="&quot;$&quot;#,##0"/>
    <numFmt numFmtId="174" formatCode="[$-F800]dddd\,\ mmmm\ dd\,\ yyyy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i/>
      <u/>
      <sz val="11"/>
      <color theme="0" tint="-0.499984740745262"/>
      <name val="Aptos Narrow"/>
      <family val="2"/>
      <scheme val="minor"/>
    </font>
    <font>
      <sz val="12"/>
      <color theme="0" tint="-0.499984740745262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6" borderId="0" applyNumberFormat="0" applyBorder="0" applyAlignment="0" applyProtection="0"/>
  </cellStyleXfs>
  <cellXfs count="215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2" applyNumberFormat="1" applyFont="1" applyBorder="1" applyAlignment="1">
      <alignment horizontal="center"/>
    </xf>
    <xf numFmtId="43" fontId="0" fillId="0" borderId="0" xfId="3" applyFont="1"/>
    <xf numFmtId="167" fontId="0" fillId="0" borderId="0" xfId="3" applyNumberFormat="1" applyFont="1"/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0" fillId="0" borderId="1" xfId="2" applyNumberFormat="1" applyFont="1" applyBorder="1" applyAlignment="1">
      <alignment horizontal="center"/>
    </xf>
    <xf numFmtId="10" fontId="0" fillId="0" borderId="39" xfId="2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165" fontId="0" fillId="0" borderId="5" xfId="2" applyNumberFormat="1" applyFont="1" applyBorder="1" applyAlignment="1">
      <alignment horizontal="center"/>
    </xf>
    <xf numFmtId="9" fontId="0" fillId="0" borderId="5" xfId="2" applyFont="1" applyBorder="1" applyAlignment="1">
      <alignment horizontal="center"/>
    </xf>
    <xf numFmtId="165" fontId="0" fillId="0" borderId="1" xfId="2" applyNumberFormat="1" applyFont="1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0" fontId="0" fillId="0" borderId="9" xfId="2" applyNumberFormat="1" applyFont="1" applyBorder="1" applyAlignment="1">
      <alignment horizontal="center"/>
    </xf>
    <xf numFmtId="10" fontId="0" fillId="0" borderId="8" xfId="2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9" fontId="0" fillId="0" borderId="44" xfId="2" applyFont="1" applyBorder="1" applyAlignment="1">
      <alignment horizontal="center"/>
    </xf>
    <xf numFmtId="10" fontId="0" fillId="0" borderId="6" xfId="2" applyNumberFormat="1" applyFont="1" applyBorder="1" applyAlignment="1">
      <alignment horizontal="center"/>
    </xf>
    <xf numFmtId="9" fontId="0" fillId="0" borderId="39" xfId="2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46" xfId="0" applyNumberFormat="1" applyBorder="1" applyAlignment="1">
      <alignment horizontal="center" wrapText="1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 vertical="center" wrapText="1"/>
    </xf>
    <xf numFmtId="165" fontId="0" fillId="0" borderId="0" xfId="2" applyNumberFormat="1" applyFont="1" applyBorder="1"/>
    <xf numFmtId="0" fontId="0" fillId="0" borderId="0" xfId="0" applyAlignment="1">
      <alignment wrapText="1"/>
    </xf>
    <xf numFmtId="0" fontId="0" fillId="0" borderId="0" xfId="0" quotePrefix="1" applyAlignment="1">
      <alignment horizontal="center"/>
    </xf>
    <xf numFmtId="9" fontId="0" fillId="0" borderId="0" xfId="0" applyNumberFormat="1"/>
    <xf numFmtId="170" fontId="0" fillId="0" borderId="0" xfId="3" applyNumberFormat="1" applyFont="1"/>
    <xf numFmtId="5" fontId="0" fillId="0" borderId="0" xfId="0" applyNumberFormat="1"/>
    <xf numFmtId="43" fontId="0" fillId="0" borderId="0" xfId="0" applyNumberFormat="1"/>
    <xf numFmtId="171" fontId="0" fillId="0" borderId="0" xfId="0" applyNumberFormat="1"/>
    <xf numFmtId="0" fontId="0" fillId="5" borderId="1" xfId="0" applyFill="1" applyBorder="1" applyAlignment="1" applyProtection="1">
      <alignment horizontal="center"/>
      <protection locked="0"/>
    </xf>
    <xf numFmtId="9" fontId="0" fillId="0" borderId="0" xfId="0" applyNumberFormat="1" applyAlignment="1">
      <alignment horizontal="center"/>
    </xf>
    <xf numFmtId="14" fontId="0" fillId="0" borderId="0" xfId="0" applyNumberFormat="1"/>
    <xf numFmtId="7" fontId="0" fillId="0" borderId="0" xfId="0" applyNumberFormat="1"/>
    <xf numFmtId="5" fontId="0" fillId="0" borderId="0" xfId="1" applyNumberFormat="1" applyFont="1"/>
    <xf numFmtId="172" fontId="0" fillId="5" borderId="1" xfId="1" applyNumberFormat="1" applyFont="1" applyFill="1" applyBorder="1" applyAlignment="1" applyProtection="1">
      <alignment horizontal="center"/>
      <protection locked="0"/>
    </xf>
    <xf numFmtId="5" fontId="0" fillId="5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165" fontId="0" fillId="2" borderId="47" xfId="2" applyNumberFormat="1" applyFont="1" applyFill="1" applyBorder="1" applyAlignment="1" applyProtection="1">
      <alignment horizontal="center"/>
    </xf>
    <xf numFmtId="10" fontId="0" fillId="2" borderId="47" xfId="2" applyNumberFormat="1" applyFont="1" applyFill="1" applyBorder="1" applyAlignment="1" applyProtection="1">
      <alignment horizontal="center"/>
    </xf>
    <xf numFmtId="43" fontId="0" fillId="0" borderId="0" xfId="3" applyFont="1" applyAlignment="1" applyProtection="1">
      <alignment horizontal="center"/>
    </xf>
    <xf numFmtId="5" fontId="0" fillId="0" borderId="14" xfId="1" applyNumberFormat="1" applyFont="1" applyFill="1" applyBorder="1" applyAlignment="1" applyProtection="1">
      <alignment horizontal="center"/>
    </xf>
    <xf numFmtId="5" fontId="0" fillId="0" borderId="0" xfId="1" applyNumberFormat="1" applyFont="1" applyFill="1" applyAlignment="1" applyProtection="1">
      <alignment horizontal="center"/>
    </xf>
    <xf numFmtId="165" fontId="12" fillId="6" borderId="19" xfId="6" applyNumberFormat="1" applyBorder="1" applyAlignment="1" applyProtection="1">
      <alignment horizontal="center"/>
    </xf>
    <xf numFmtId="0" fontId="12" fillId="6" borderId="20" xfId="6" applyBorder="1" applyProtection="1"/>
    <xf numFmtId="165" fontId="0" fillId="0" borderId="0" xfId="2" applyNumberFormat="1" applyFont="1" applyAlignment="1" applyProtection="1">
      <alignment horizontal="center"/>
    </xf>
    <xf numFmtId="5" fontId="12" fillId="6" borderId="19" xfId="6" applyNumberFormat="1" applyBorder="1" applyAlignment="1" applyProtection="1">
      <alignment horizontal="center"/>
    </xf>
    <xf numFmtId="9" fontId="3" fillId="0" borderId="0" xfId="2" applyFont="1" applyFill="1" applyAlignment="1" applyProtection="1">
      <alignment horizontal="center"/>
    </xf>
    <xf numFmtId="5" fontId="0" fillId="0" borderId="19" xfId="1" applyNumberFormat="1" applyFont="1" applyFill="1" applyBorder="1" applyAlignment="1" applyProtection="1">
      <alignment horizontal="center"/>
    </xf>
    <xf numFmtId="5" fontId="0" fillId="0" borderId="20" xfId="1" applyNumberFormat="1" applyFont="1" applyFill="1" applyBorder="1" applyAlignment="1" applyProtection="1">
      <alignment horizontal="center"/>
    </xf>
    <xf numFmtId="173" fontId="0" fillId="0" borderId="26" xfId="1" applyNumberFormat="1" applyFont="1" applyBorder="1" applyAlignment="1" applyProtection="1">
      <alignment horizontal="center"/>
    </xf>
    <xf numFmtId="173" fontId="0" fillId="0" borderId="0" xfId="1" applyNumberFormat="1" applyFont="1" applyBorder="1" applyAlignment="1" applyProtection="1">
      <alignment horizontal="center"/>
    </xf>
    <xf numFmtId="173" fontId="14" fillId="0" borderId="26" xfId="1" applyNumberFormat="1" applyFont="1" applyFill="1" applyBorder="1" applyAlignment="1" applyProtection="1">
      <alignment horizontal="center"/>
    </xf>
    <xf numFmtId="173" fontId="14" fillId="0" borderId="0" xfId="1" applyNumberFormat="1" applyFont="1" applyFill="1" applyBorder="1" applyAlignment="1" applyProtection="1">
      <alignment horizontal="center"/>
    </xf>
    <xf numFmtId="173" fontId="14" fillId="0" borderId="27" xfId="1" applyNumberFormat="1" applyFont="1" applyFill="1" applyBorder="1" applyAlignment="1" applyProtection="1">
      <alignment horizontal="center"/>
    </xf>
    <xf numFmtId="173" fontId="0" fillId="0" borderId="0" xfId="1" applyNumberFormat="1" applyFont="1" applyBorder="1" applyAlignment="1" applyProtection="1"/>
    <xf numFmtId="173" fontId="0" fillId="0" borderId="23" xfId="1" applyNumberFormat="1" applyFont="1" applyBorder="1" applyAlignment="1" applyProtection="1">
      <alignment horizontal="center"/>
    </xf>
    <xf numFmtId="173" fontId="0" fillId="0" borderId="13" xfId="1" applyNumberFormat="1" applyFont="1" applyBorder="1" applyAlignment="1" applyProtection="1">
      <alignment horizontal="center"/>
    </xf>
    <xf numFmtId="173" fontId="0" fillId="0" borderId="12" xfId="1" applyNumberFormat="1" applyFont="1" applyBorder="1" applyAlignment="1" applyProtection="1">
      <alignment horizontal="center"/>
    </xf>
    <xf numFmtId="173" fontId="12" fillId="6" borderId="23" xfId="6" applyNumberFormat="1" applyBorder="1" applyAlignment="1" applyProtection="1">
      <alignment horizontal="center"/>
    </xf>
    <xf numFmtId="173" fontId="12" fillId="6" borderId="13" xfId="6" applyNumberFormat="1" applyBorder="1" applyAlignment="1" applyProtection="1">
      <alignment horizontal="center"/>
    </xf>
    <xf numFmtId="173" fontId="12" fillId="6" borderId="12" xfId="6" applyNumberFormat="1" applyBorder="1" applyAlignment="1" applyProtection="1">
      <alignment horizontal="center"/>
    </xf>
    <xf numFmtId="173" fontId="12" fillId="6" borderId="20" xfId="6" applyNumberFormat="1" applyBorder="1" applyAlignment="1" applyProtection="1">
      <alignment horizontal="center"/>
    </xf>
    <xf numFmtId="9" fontId="0" fillId="0" borderId="0" xfId="2" applyFont="1" applyBorder="1" applyProtection="1"/>
    <xf numFmtId="0" fontId="0" fillId="7" borderId="29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5" fontId="0" fillId="7" borderId="30" xfId="1" applyNumberFormat="1" applyFont="1" applyFill="1" applyBorder="1" applyAlignment="1" applyProtection="1">
      <alignment horizontal="center"/>
    </xf>
    <xf numFmtId="5" fontId="0" fillId="0" borderId="31" xfId="1" applyNumberFormat="1" applyFont="1" applyBorder="1" applyAlignment="1" applyProtection="1">
      <alignment horizontal="center"/>
    </xf>
    <xf numFmtId="5" fontId="0" fillId="0" borderId="0" xfId="1" applyNumberFormat="1" applyFont="1" applyBorder="1" applyAlignment="1" applyProtection="1">
      <alignment horizontal="center"/>
    </xf>
    <xf numFmtId="5" fontId="0" fillId="0" borderId="0" xfId="1" applyNumberFormat="1" applyFont="1" applyFill="1" applyBorder="1" applyAlignment="1" applyProtection="1">
      <alignment horizontal="center"/>
    </xf>
    <xf numFmtId="0" fontId="0" fillId="3" borderId="14" xfId="0" applyFill="1" applyBorder="1" applyAlignment="1">
      <alignment horizontal="right"/>
    </xf>
    <xf numFmtId="5" fontId="0" fillId="3" borderId="21" xfId="1" applyNumberFormat="1" applyFont="1" applyFill="1" applyBorder="1" applyAlignment="1" applyProtection="1">
      <alignment horizontal="center"/>
    </xf>
    <xf numFmtId="5" fontId="0" fillId="3" borderId="2" xfId="1" applyNumberFormat="1" applyFont="1" applyFill="1" applyBorder="1" applyAlignment="1" applyProtection="1">
      <alignment horizontal="center"/>
    </xf>
    <xf numFmtId="5" fontId="0" fillId="3" borderId="3" xfId="1" applyNumberFormat="1" applyFont="1" applyFill="1" applyBorder="1" applyAlignment="1" applyProtection="1">
      <alignment horizontal="center"/>
    </xf>
    <xf numFmtId="5" fontId="0" fillId="3" borderId="4" xfId="1" applyNumberFormat="1" applyFont="1" applyFill="1" applyBorder="1" applyAlignment="1" applyProtection="1">
      <alignment horizontal="center"/>
    </xf>
    <xf numFmtId="0" fontId="0" fillId="3" borderId="0" xfId="0" applyFill="1" applyAlignment="1">
      <alignment horizontal="right"/>
    </xf>
    <xf numFmtId="5" fontId="0" fillId="3" borderId="18" xfId="1" applyNumberFormat="1" applyFont="1" applyFill="1" applyBorder="1" applyAlignment="1" applyProtection="1">
      <alignment horizontal="center"/>
    </xf>
    <xf numFmtId="5" fontId="0" fillId="3" borderId="5" xfId="1" applyNumberFormat="1" applyFont="1" applyFill="1" applyBorder="1" applyAlignment="1" applyProtection="1">
      <alignment horizontal="center"/>
    </xf>
    <xf numFmtId="5" fontId="0" fillId="3" borderId="1" xfId="1" applyNumberFormat="1" applyFont="1" applyFill="1" applyBorder="1" applyAlignment="1" applyProtection="1">
      <alignment horizontal="center"/>
    </xf>
    <xf numFmtId="5" fontId="0" fillId="3" borderId="6" xfId="1" applyNumberFormat="1" applyFont="1" applyFill="1" applyBorder="1" applyAlignment="1" applyProtection="1">
      <alignment horizont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3" xfId="0" applyFill="1" applyBorder="1" applyAlignment="1">
      <alignment horizontal="right"/>
    </xf>
    <xf numFmtId="5" fontId="0" fillId="3" borderId="22" xfId="1" applyNumberFormat="1" applyFont="1" applyFill="1" applyBorder="1" applyAlignment="1" applyProtection="1">
      <alignment horizontal="center"/>
    </xf>
    <xf numFmtId="5" fontId="0" fillId="3" borderId="7" xfId="1" applyNumberFormat="1" applyFont="1" applyFill="1" applyBorder="1" applyAlignment="1" applyProtection="1">
      <alignment horizontal="center"/>
    </xf>
    <xf numFmtId="5" fontId="0" fillId="3" borderId="8" xfId="1" applyNumberFormat="1" applyFont="1" applyFill="1" applyBorder="1" applyAlignment="1" applyProtection="1">
      <alignment horizontal="center"/>
    </xf>
    <xf numFmtId="5" fontId="0" fillId="3" borderId="9" xfId="1" applyNumberFormat="1" applyFont="1" applyFill="1" applyBorder="1" applyAlignment="1" applyProtection="1">
      <alignment horizontal="center"/>
    </xf>
    <xf numFmtId="0" fontId="0" fillId="0" borderId="19" xfId="0" applyBorder="1" applyAlignment="1">
      <alignment horizontal="right" indent="1"/>
    </xf>
    <xf numFmtId="5" fontId="0" fillId="0" borderId="10" xfId="1" applyNumberFormat="1" applyFont="1" applyFill="1" applyBorder="1" applyAlignment="1" applyProtection="1">
      <alignment horizontal="center"/>
    </xf>
    <xf numFmtId="0" fontId="0" fillId="0" borderId="11" xfId="0" applyBorder="1" applyAlignment="1">
      <alignment horizontal="right"/>
    </xf>
    <xf numFmtId="5" fontId="0" fillId="0" borderId="25" xfId="1" applyNumberFormat="1" applyFont="1" applyFill="1" applyBorder="1" applyAlignment="1" applyProtection="1">
      <alignment horizontal="center"/>
    </xf>
    <xf numFmtId="0" fontId="0" fillId="0" borderId="26" xfId="0" applyBorder="1" applyAlignment="1">
      <alignment horizontal="right"/>
    </xf>
    <xf numFmtId="5" fontId="0" fillId="0" borderId="27" xfId="1" applyNumberFormat="1" applyFont="1" applyFill="1" applyBorder="1" applyAlignment="1" applyProtection="1">
      <alignment horizontal="center"/>
    </xf>
    <xf numFmtId="0" fontId="0" fillId="0" borderId="23" xfId="0" applyBorder="1" applyAlignment="1">
      <alignment horizontal="right"/>
    </xf>
    <xf numFmtId="5" fontId="0" fillId="0" borderId="13" xfId="1" applyNumberFormat="1" applyFont="1" applyFill="1" applyBorder="1" applyAlignment="1" applyProtection="1">
      <alignment horizontal="center"/>
    </xf>
    <xf numFmtId="5" fontId="0" fillId="0" borderId="12" xfId="1" applyNumberFormat="1" applyFont="1" applyFill="1" applyBorder="1" applyAlignment="1" applyProtection="1">
      <alignment horizontal="center"/>
    </xf>
    <xf numFmtId="166" fontId="0" fillId="0" borderId="0" xfId="3" applyNumberFormat="1" applyFont="1" applyProtection="1"/>
    <xf numFmtId="172" fontId="0" fillId="0" borderId="0" xfId="0" applyNumberFormat="1" applyAlignment="1">
      <alignment horizontal="center"/>
    </xf>
    <xf numFmtId="169" fontId="9" fillId="0" borderId="0" xfId="0" applyNumberFormat="1" applyFont="1" applyAlignment="1">
      <alignment horizontal="center"/>
    </xf>
    <xf numFmtId="165" fontId="0" fillId="0" borderId="0" xfId="0" applyNumberFormat="1"/>
    <xf numFmtId="168" fontId="0" fillId="0" borderId="0" xfId="0" applyNumberFormat="1" applyAlignment="1">
      <alignment horizontal="center"/>
    </xf>
    <xf numFmtId="0" fontId="9" fillId="0" borderId="0" xfId="0" applyFont="1" applyAlignment="1">
      <alignment horizontal="right"/>
    </xf>
    <xf numFmtId="2" fontId="11" fillId="0" borderId="0" xfId="0" applyNumberFormat="1" applyFont="1" applyAlignment="1">
      <alignment wrapText="1"/>
    </xf>
    <xf numFmtId="168" fontId="0" fillId="0" borderId="0" xfId="0" applyNumberFormat="1"/>
    <xf numFmtId="8" fontId="0" fillId="2" borderId="47" xfId="0" applyNumberForma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9" fillId="0" borderId="1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74" fontId="0" fillId="0" borderId="0" xfId="0" applyNumberFormat="1"/>
    <xf numFmtId="0" fontId="0" fillId="0" borderId="0" xfId="0" applyAlignment="1">
      <alignment horizontal="left"/>
    </xf>
    <xf numFmtId="0" fontId="9" fillId="0" borderId="2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7" xfId="0" applyFont="1" applyBorder="1"/>
    <xf numFmtId="9" fontId="9" fillId="0" borderId="26" xfId="0" applyNumberFormat="1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3" xfId="0" applyFont="1" applyBorder="1"/>
    <xf numFmtId="0" fontId="9" fillId="0" borderId="12" xfId="0" applyFont="1" applyBorder="1"/>
    <xf numFmtId="0" fontId="0" fillId="0" borderId="0" xfId="0" applyAlignment="1">
      <alignment horizontal="right" indent="1"/>
    </xf>
    <xf numFmtId="165" fontId="0" fillId="0" borderId="28" xfId="0" applyNumberFormat="1" applyBorder="1" applyAlignment="1">
      <alignment horizontal="center"/>
    </xf>
    <xf numFmtId="0" fontId="3" fillId="0" borderId="0" xfId="0" applyFont="1" applyAlignment="1">
      <alignment horizontal="right" indent="1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5" fontId="0" fillId="0" borderId="20" xfId="0" applyNumberFormat="1" applyBorder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0" applyNumberFormat="1"/>
    <xf numFmtId="173" fontId="14" fillId="0" borderId="27" xfId="0" applyNumberFormat="1" applyFont="1" applyBorder="1" applyAlignment="1">
      <alignment horizontal="center"/>
    </xf>
    <xf numFmtId="173" fontId="0" fillId="0" borderId="26" xfId="0" applyNumberFormat="1" applyBorder="1" applyAlignment="1">
      <alignment horizontal="center"/>
    </xf>
    <xf numFmtId="173" fontId="14" fillId="0" borderId="12" xfId="0" applyNumberFormat="1" applyFont="1" applyBorder="1" applyAlignment="1">
      <alignment horizontal="center"/>
    </xf>
    <xf numFmtId="0" fontId="15" fillId="0" borderId="0" xfId="0" applyFont="1" applyAlignment="1">
      <alignment horizontal="right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173" fontId="0" fillId="0" borderId="11" xfId="0" applyNumberFormat="1" applyBorder="1" applyAlignment="1">
      <alignment horizontal="center"/>
    </xf>
    <xf numFmtId="173" fontId="0" fillId="0" borderId="25" xfId="0" applyNumberFormat="1" applyBorder="1" applyAlignment="1">
      <alignment horizontal="center"/>
    </xf>
    <xf numFmtId="173" fontId="0" fillId="0" borderId="23" xfId="0" applyNumberFormat="1" applyBorder="1" applyAlignment="1">
      <alignment horizontal="center"/>
    </xf>
    <xf numFmtId="173" fontId="0" fillId="0" borderId="13" xfId="0" applyNumberFormat="1" applyBorder="1" applyAlignment="1">
      <alignment horizontal="center"/>
    </xf>
    <xf numFmtId="9" fontId="3" fillId="0" borderId="13" xfId="2" applyFont="1" applyFill="1" applyBorder="1" applyAlignment="1" applyProtection="1">
      <alignment horizontal="center"/>
    </xf>
    <xf numFmtId="0" fontId="7" fillId="0" borderId="49" xfId="0" applyFont="1" applyBorder="1" applyAlignment="1">
      <alignment horizontal="left"/>
    </xf>
    <xf numFmtId="0" fontId="7" fillId="0" borderId="0" xfId="0" applyFont="1" applyAlignment="1">
      <alignment horizontal="left"/>
    </xf>
    <xf numFmtId="173" fontId="14" fillId="0" borderId="25" xfId="1" applyNumberFormat="1" applyFont="1" applyFill="1" applyBorder="1" applyAlignment="1" applyProtection="1">
      <alignment horizontal="center" vertical="center"/>
    </xf>
    <xf numFmtId="173" fontId="14" fillId="0" borderId="27" xfId="1" applyNumberFormat="1" applyFont="1" applyFill="1" applyBorder="1" applyAlignment="1" applyProtection="1">
      <alignment horizontal="center" vertical="center"/>
    </xf>
    <xf numFmtId="173" fontId="14" fillId="0" borderId="11" xfId="1" applyNumberFormat="1" applyFont="1" applyFill="1" applyBorder="1" applyAlignment="1" applyProtection="1">
      <alignment horizontal="center" vertical="center"/>
    </xf>
    <xf numFmtId="173" fontId="14" fillId="0" borderId="26" xfId="1" applyNumberFormat="1" applyFont="1" applyFill="1" applyBorder="1" applyAlignment="1" applyProtection="1">
      <alignment horizontal="center" vertical="center"/>
    </xf>
    <xf numFmtId="173" fontId="14" fillId="0" borderId="14" xfId="1" applyNumberFormat="1" applyFont="1" applyFill="1" applyBorder="1" applyAlignment="1" applyProtection="1">
      <alignment horizontal="center" vertical="center"/>
    </xf>
    <xf numFmtId="173" fontId="14" fillId="0" borderId="0" xfId="1" applyNumberFormat="1" applyFont="1" applyFill="1" applyBorder="1" applyAlignment="1" applyProtection="1">
      <alignment horizontal="center" vertical="center"/>
    </xf>
    <xf numFmtId="165" fontId="0" fillId="0" borderId="0" xfId="2" applyNumberFormat="1" applyFont="1" applyAlignment="1" applyProtection="1">
      <alignment horizontal="center"/>
    </xf>
    <xf numFmtId="165" fontId="7" fillId="0" borderId="28" xfId="0" applyNumberFormat="1" applyFont="1" applyBorder="1" applyAlignment="1">
      <alignment horizontal="center"/>
    </xf>
    <xf numFmtId="165" fontId="0" fillId="0" borderId="48" xfId="0" applyNumberFormat="1" applyBorder="1" applyAlignment="1">
      <alignment horizontal="center"/>
    </xf>
    <xf numFmtId="173" fontId="13" fillId="0" borderId="11" xfId="1" applyNumberFormat="1" applyFont="1" applyFill="1" applyBorder="1" applyAlignment="1" applyProtection="1">
      <alignment horizontal="center"/>
    </xf>
    <xf numFmtId="173" fontId="13" fillId="0" borderId="1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2" fontId="11" fillId="0" borderId="0" xfId="0" applyNumberFormat="1" applyFont="1" applyAlignment="1">
      <alignment horizontal="center" wrapText="1"/>
    </xf>
    <xf numFmtId="0" fontId="0" fillId="0" borderId="13" xfId="0" applyBorder="1" applyAlignment="1">
      <alignment horizontal="center"/>
    </xf>
    <xf numFmtId="5" fontId="0" fillId="0" borderId="14" xfId="1" applyNumberFormat="1" applyFont="1" applyFill="1" applyBorder="1" applyAlignment="1" applyProtection="1">
      <alignment horizontal="center"/>
    </xf>
    <xf numFmtId="0" fontId="9" fillId="0" borderId="1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31" xfId="0" applyFont="1" applyBorder="1" applyAlignment="1">
      <alignment horizontal="center"/>
    </xf>
    <xf numFmtId="9" fontId="0" fillId="0" borderId="35" xfId="2" applyFont="1" applyBorder="1" applyAlignment="1">
      <alignment horizontal="center"/>
    </xf>
    <xf numFmtId="9" fontId="0" fillId="0" borderId="34" xfId="2" applyFont="1" applyBorder="1" applyAlignment="1">
      <alignment horizontal="center"/>
    </xf>
    <xf numFmtId="9" fontId="0" fillId="0" borderId="33" xfId="2" applyFont="1" applyBorder="1" applyAlignment="1">
      <alignment horizontal="center"/>
    </xf>
    <xf numFmtId="10" fontId="0" fillId="0" borderId="35" xfId="2" applyNumberFormat="1" applyFont="1" applyBorder="1" applyAlignment="1">
      <alignment horizontal="center"/>
    </xf>
    <xf numFmtId="10" fontId="0" fillId="0" borderId="34" xfId="2" applyNumberFormat="1" applyFont="1" applyBorder="1" applyAlignment="1">
      <alignment horizontal="center"/>
    </xf>
    <xf numFmtId="10" fontId="0" fillId="0" borderId="33" xfId="2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9" fontId="0" fillId="0" borderId="38" xfId="2" applyFont="1" applyBorder="1" applyAlignment="1">
      <alignment horizontal="center"/>
    </xf>
    <xf numFmtId="9" fontId="0" fillId="0" borderId="37" xfId="2" applyFont="1" applyBorder="1" applyAlignment="1">
      <alignment horizontal="center"/>
    </xf>
    <xf numFmtId="9" fontId="0" fillId="0" borderId="36" xfId="2" applyFont="1" applyBorder="1" applyAlignment="1">
      <alignment horizontal="center"/>
    </xf>
    <xf numFmtId="10" fontId="0" fillId="0" borderId="38" xfId="2" applyNumberFormat="1" applyFont="1" applyBorder="1" applyAlignment="1">
      <alignment horizontal="center"/>
    </xf>
    <xf numFmtId="10" fontId="0" fillId="0" borderId="37" xfId="2" applyNumberFormat="1" applyFont="1" applyBorder="1" applyAlignment="1">
      <alignment horizontal="center"/>
    </xf>
    <xf numFmtId="10" fontId="0" fillId="0" borderId="36" xfId="2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42" xfId="2" applyFont="1" applyBorder="1" applyAlignment="1">
      <alignment horizontal="center"/>
    </xf>
    <xf numFmtId="9" fontId="0" fillId="0" borderId="41" xfId="2" applyFont="1" applyBorder="1" applyAlignment="1">
      <alignment horizontal="center"/>
    </xf>
    <xf numFmtId="9" fontId="0" fillId="0" borderId="40" xfId="2" applyFont="1" applyBorder="1" applyAlignment="1">
      <alignment horizontal="center"/>
    </xf>
    <xf numFmtId="10" fontId="0" fillId="0" borderId="42" xfId="0" applyNumberFormat="1" applyBorder="1" applyAlignment="1">
      <alignment horizontal="center"/>
    </xf>
    <xf numFmtId="10" fontId="0" fillId="0" borderId="41" xfId="0" applyNumberFormat="1" applyBorder="1" applyAlignment="1">
      <alignment horizontal="center"/>
    </xf>
    <xf numFmtId="10" fontId="0" fillId="0" borderId="40" xfId="0" applyNumberFormat="1" applyBorder="1" applyAlignment="1">
      <alignment horizontal="center"/>
    </xf>
    <xf numFmtId="9" fontId="0" fillId="0" borderId="18" xfId="2" applyFont="1" applyBorder="1" applyAlignment="1">
      <alignment horizontal="center"/>
    </xf>
    <xf numFmtId="10" fontId="0" fillId="0" borderId="18" xfId="2" applyNumberFormat="1" applyFont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165" fontId="0" fillId="0" borderId="15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9" fontId="0" fillId="0" borderId="45" xfId="2" applyFont="1" applyBorder="1" applyAlignment="1">
      <alignment horizontal="center"/>
    </xf>
    <xf numFmtId="10" fontId="0" fillId="0" borderId="21" xfId="2" applyNumberFormat="1" applyFont="1" applyBorder="1" applyAlignment="1">
      <alignment horizontal="center"/>
    </xf>
    <xf numFmtId="10" fontId="0" fillId="0" borderId="41" xfId="2" applyNumberFormat="1" applyFont="1" applyBorder="1" applyAlignment="1">
      <alignment horizontal="center"/>
    </xf>
    <xf numFmtId="10" fontId="0" fillId="0" borderId="40" xfId="2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7">
    <cellStyle name="Comma" xfId="3" builtinId="3"/>
    <cellStyle name="Currency" xfId="1" builtinId="4"/>
    <cellStyle name="Good" xfId="6" builtinId="26"/>
    <cellStyle name="Normal" xfId="0" builtinId="0"/>
    <cellStyle name="Normal 3 2" xfId="4" xr:uid="{76ED196F-80B3-4951-8AE3-ADC14C932B0A}"/>
    <cellStyle name="Percent" xfId="2" builtinId="5"/>
    <cellStyle name="Percent 2 2" xfId="5" xr:uid="{A45F44FE-EF38-4B9E-8321-9A0C61DBBA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Company Performance (BCA - Average 108.7%)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'Chart Data and Data Validation'!$B$1:$C$6</c:f>
              <c:multiLvlStrCache>
                <c:ptCount val="6"/>
                <c:lvl>
                  <c:pt idx="0">
                    <c:v>Less than 50%</c:v>
                  </c:pt>
                  <c:pt idx="1">
                    <c:v>50% to 75%</c:v>
                  </c:pt>
                  <c:pt idx="2">
                    <c:v>75% to 100%</c:v>
                  </c:pt>
                  <c:pt idx="3">
                    <c:v>100% to 125%</c:v>
                  </c:pt>
                  <c:pt idx="4">
                    <c:v>125% to 150%</c:v>
                  </c:pt>
                  <c:pt idx="5">
                    <c:v>more than 150%</c:v>
                  </c:pt>
                </c:lvl>
                <c:lvl>
                  <c:pt idx="0">
                    <c:v>Extremely Low 
(9.5% of the time)</c:v>
                  </c:pt>
                  <c:pt idx="1">
                    <c:v>Pretty Typical 
(76.2% of the time)</c:v>
                  </c:pt>
                  <c:pt idx="5">
                    <c:v>Extremely High 
(14.3% of the time)</c:v>
                  </c:pt>
                </c:lvl>
              </c:multiLvlStrCache>
            </c:multiLvlStrRef>
          </c:cat>
          <c:val>
            <c:numRef>
              <c:f>'Chart Data and Data Validation'!$D$1:$D$6</c:f>
              <c:numCache>
                <c:formatCode>0.0%</c:formatCode>
                <c:ptCount val="6"/>
                <c:pt idx="0">
                  <c:v>9.5238095238095233E-2</c:v>
                </c:pt>
                <c:pt idx="1">
                  <c:v>0.19047619047619047</c:v>
                </c:pt>
                <c:pt idx="2">
                  <c:v>9.5238095238095233E-2</c:v>
                </c:pt>
                <c:pt idx="3">
                  <c:v>0.19047619047619047</c:v>
                </c:pt>
                <c:pt idx="4">
                  <c:v>0.2857142857142857</c:v>
                </c:pt>
                <c:pt idx="5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9-427A-B8BB-E64FBB1D2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0312543"/>
        <c:axId val="1350313503"/>
      </c:barChart>
      <c:catAx>
        <c:axId val="1350312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313503"/>
        <c:crosses val="autoZero"/>
        <c:auto val="1"/>
        <c:lblAlgn val="ctr"/>
        <c:lblOffset val="100"/>
        <c:noMultiLvlLbl val="0"/>
      </c:catAx>
      <c:valAx>
        <c:axId val="135031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Distributon ot Prior EIPs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31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Professional Unit 2025 Overtime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Overtime!$C$3</c:f>
              <c:strCache>
                <c:ptCount val="1"/>
                <c:pt idx="0">
                  <c:v>Professional 2025 Overtime Hours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Overtime!$B$4:$B$10</c:f>
              <c:strCache>
                <c:ptCount val="7"/>
                <c:pt idx="0">
                  <c:v>None</c:v>
                </c:pt>
                <c:pt idx="1">
                  <c:v>0-5%</c:v>
                </c:pt>
                <c:pt idx="2">
                  <c:v>5-10%</c:v>
                </c:pt>
                <c:pt idx="3">
                  <c:v>10-15%</c:v>
                </c:pt>
                <c:pt idx="4">
                  <c:v>15-20%</c:v>
                </c:pt>
                <c:pt idx="5">
                  <c:v>20-25%</c:v>
                </c:pt>
                <c:pt idx="6">
                  <c:v>25%+</c:v>
                </c:pt>
              </c:strCache>
            </c:strRef>
          </c:cat>
          <c:val>
            <c:numRef>
              <c:f>Overtime!$C$4:$C$10</c:f>
              <c:numCache>
                <c:formatCode>General</c:formatCode>
                <c:ptCount val="7"/>
                <c:pt idx="0">
                  <c:v>2437</c:v>
                </c:pt>
                <c:pt idx="1">
                  <c:v>4935</c:v>
                </c:pt>
                <c:pt idx="2">
                  <c:v>2295</c:v>
                </c:pt>
                <c:pt idx="3">
                  <c:v>1257</c:v>
                </c:pt>
                <c:pt idx="4">
                  <c:v>711</c:v>
                </c:pt>
                <c:pt idx="5">
                  <c:v>360</c:v>
                </c:pt>
                <c:pt idx="6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5-4225-AA7B-4489D4A34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4035103"/>
        <c:axId val="1344035583"/>
      </c:barChart>
      <c:catAx>
        <c:axId val="134403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035583"/>
        <c:crosses val="autoZero"/>
        <c:auto val="1"/>
        <c:lblAlgn val="ctr"/>
        <c:lblOffset val="100"/>
        <c:noMultiLvlLbl val="0"/>
      </c:catAx>
      <c:valAx>
        <c:axId val="134403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035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Overtime!$C$31</c:f>
              <c:strCache>
                <c:ptCount val="1"/>
                <c:pt idx="0">
                  <c:v>Tech OT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Overtime!$B$32:$B$38</c:f>
              <c:strCache>
                <c:ptCount val="7"/>
                <c:pt idx="0">
                  <c:v>None</c:v>
                </c:pt>
                <c:pt idx="1">
                  <c:v>0-5%</c:v>
                </c:pt>
                <c:pt idx="2">
                  <c:v>5-10%</c:v>
                </c:pt>
                <c:pt idx="3">
                  <c:v>10-15%</c:v>
                </c:pt>
                <c:pt idx="4">
                  <c:v>15-20%</c:v>
                </c:pt>
                <c:pt idx="5">
                  <c:v>20-25%</c:v>
                </c:pt>
                <c:pt idx="6">
                  <c:v>25%+</c:v>
                </c:pt>
              </c:strCache>
            </c:strRef>
          </c:cat>
          <c:val>
            <c:numRef>
              <c:f>Overtime!$C$32:$C$38</c:f>
              <c:numCache>
                <c:formatCode>General</c:formatCode>
                <c:ptCount val="7"/>
                <c:pt idx="0">
                  <c:v>458</c:v>
                </c:pt>
                <c:pt idx="1">
                  <c:v>2043</c:v>
                </c:pt>
                <c:pt idx="2">
                  <c:v>797</c:v>
                </c:pt>
                <c:pt idx="3">
                  <c:v>372</c:v>
                </c:pt>
                <c:pt idx="4">
                  <c:v>136</c:v>
                </c:pt>
                <c:pt idx="5">
                  <c:v>37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D-426D-AD11-28D42B27D516}"/>
            </c:ext>
          </c:extLst>
        </c:ser>
        <c:ser>
          <c:idx val="1"/>
          <c:order val="1"/>
          <c:tx>
            <c:strRef>
              <c:f>Overtime!$D$31</c:f>
              <c:strCache>
                <c:ptCount val="1"/>
                <c:pt idx="0">
                  <c:v>Doubletime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Overtime!$B$32:$B$38</c:f>
              <c:strCache>
                <c:ptCount val="7"/>
                <c:pt idx="0">
                  <c:v>None</c:v>
                </c:pt>
                <c:pt idx="1">
                  <c:v>0-5%</c:v>
                </c:pt>
                <c:pt idx="2">
                  <c:v>5-10%</c:v>
                </c:pt>
                <c:pt idx="3">
                  <c:v>10-15%</c:v>
                </c:pt>
                <c:pt idx="4">
                  <c:v>15-20%</c:v>
                </c:pt>
                <c:pt idx="5">
                  <c:v>20-25%</c:v>
                </c:pt>
                <c:pt idx="6">
                  <c:v>25%+</c:v>
                </c:pt>
              </c:strCache>
            </c:strRef>
          </c:cat>
          <c:val>
            <c:numRef>
              <c:f>Overtime!$D$32:$D$38</c:f>
              <c:numCache>
                <c:formatCode>General</c:formatCode>
                <c:ptCount val="7"/>
                <c:pt idx="0">
                  <c:v>1281</c:v>
                </c:pt>
                <c:pt idx="1">
                  <c:v>1431</c:v>
                </c:pt>
                <c:pt idx="2">
                  <c:v>442</c:v>
                </c:pt>
                <c:pt idx="3">
                  <c:v>295</c:v>
                </c:pt>
                <c:pt idx="4">
                  <c:v>136</c:v>
                </c:pt>
                <c:pt idx="5">
                  <c:v>99</c:v>
                </c:pt>
                <c:pt idx="6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D-426D-AD11-28D42B27D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5521615"/>
        <c:axId val="1625521135"/>
      </c:barChart>
      <c:catAx>
        <c:axId val="1625521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5521135"/>
        <c:crosses val="autoZero"/>
        <c:auto val="1"/>
        <c:lblAlgn val="ctr"/>
        <c:lblOffset val="100"/>
        <c:noMultiLvlLbl val="0"/>
      </c:catAx>
      <c:valAx>
        <c:axId val="162552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5521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304066</xdr:colOff>
      <xdr:row>2</xdr:row>
      <xdr:rowOff>57150</xdr:rowOff>
    </xdr:from>
    <xdr:to>
      <xdr:col>20</xdr:col>
      <xdr:colOff>520210</xdr:colOff>
      <xdr:row>23</xdr:row>
      <xdr:rowOff>124558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3B91EC-DB91-CB96-0A75-505648C62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552449</xdr:colOff>
      <xdr:row>2</xdr:row>
      <xdr:rowOff>119061</xdr:rowOff>
    </xdr:from>
    <xdr:to>
      <xdr:col>15</xdr:col>
      <xdr:colOff>38099</xdr:colOff>
      <xdr:row>28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8D88BC-A370-3DCA-6E11-8F83BD432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109536</xdr:rowOff>
    </xdr:from>
    <xdr:to>
      <xdr:col>19</xdr:col>
      <xdr:colOff>19049</xdr:colOff>
      <xdr:row>49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2CC813-2180-F034-BC17-59AF777C36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tthew Kempf" id="{9C1B1AC3-7AA0-4AC9-8A9F-6A21A99B25BA}" userId="S::mattk@eminaise.onmicrosoft.com::cb44867f-50e5-4a2b-b4b3-60ae6fc2d85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6-07-19T19:22:47.79" personId="{9C1B1AC3-7AA0-4AC9-8A9F-6A21A99B25BA}" id="{6888BFFF-7B83-4795-A6C8-D99D337217BF}">
    <text>(Prof @ T+$8.50, Tech = Time x 1.75 (1/2 OT, 1/2 DT))</text>
  </threadedComment>
  <threadedComment ref="B22" dT="2026-07-24T04:27:10.53" personId="{9C1B1AC3-7AA0-4AC9-8A9F-6A21A99B25BA}" id="{9DC7E7B2-2778-4C38-B663-834F351DE3AE}">
    <text>Assumes Ratified in August, Retro in 9/24 Payday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D0F7-CD24-4907-B13F-E62D81968A99}">
  <dimension ref="A2:Q37"/>
  <sheetViews>
    <sheetView tabSelected="1" zoomScale="85" zoomScaleNormal="85" workbookViewId="0">
      <selection activeCell="B2" sqref="B2"/>
    </sheetView>
  </sheetViews>
  <sheetFormatPr defaultRowHeight="14.4" x14ac:dyDescent="0.3"/>
  <cols>
    <col min="1" max="1" width="57" bestFit="1" customWidth="1"/>
    <col min="2" max="2" width="16.109375" customWidth="1"/>
    <col min="3" max="3" width="18.33203125" customWidth="1"/>
    <col min="4" max="4" width="12.5546875" customWidth="1"/>
    <col min="5" max="7" width="10.6640625" bestFit="1" customWidth="1"/>
    <col min="8" max="8" width="26.5546875" bestFit="1" customWidth="1"/>
    <col min="9" max="9" width="16" customWidth="1"/>
    <col min="10" max="10" width="26.5546875" bestFit="1" customWidth="1"/>
    <col min="11" max="11" width="16" bestFit="1" customWidth="1"/>
    <col min="12" max="12" width="20" customWidth="1"/>
    <col min="13" max="13" width="10.44140625" bestFit="1" customWidth="1"/>
    <col min="18" max="18" width="30.6640625" bestFit="1" customWidth="1"/>
  </cols>
  <sheetData>
    <row r="2" spans="1:17" ht="15" thickBot="1" x14ac:dyDescent="0.35">
      <c r="A2" s="49" t="s">
        <v>421</v>
      </c>
      <c r="B2" s="47">
        <v>1987</v>
      </c>
      <c r="C2" s="2" t="s">
        <v>422</v>
      </c>
      <c r="D2" s="110">
        <f>2026-B2</f>
        <v>39</v>
      </c>
      <c r="J2" s="2" t="s">
        <v>447</v>
      </c>
      <c r="K2" s="2" t="s">
        <v>446</v>
      </c>
    </row>
    <row r="3" spans="1:17" ht="15" thickBot="1" x14ac:dyDescent="0.35">
      <c r="A3" s="49" t="s">
        <v>415</v>
      </c>
      <c r="B3" s="48">
        <v>153250</v>
      </c>
      <c r="C3" s="111"/>
      <c r="I3" s="49" t="s">
        <v>362</v>
      </c>
      <c r="J3" s="50">
        <v>0.03</v>
      </c>
      <c r="K3" s="50"/>
      <c r="M3" s="112"/>
    </row>
    <row r="4" spans="1:17" ht="15" thickBot="1" x14ac:dyDescent="0.35">
      <c r="A4" s="49" t="s">
        <v>416</v>
      </c>
      <c r="B4" s="42" t="s">
        <v>155</v>
      </c>
      <c r="C4" t="s">
        <v>369</v>
      </c>
      <c r="I4" s="49" t="s">
        <v>278</v>
      </c>
      <c r="J4" s="50">
        <v>7.0000000000000007E-2</v>
      </c>
      <c r="K4" s="50">
        <v>5.0000000000000001E-3</v>
      </c>
      <c r="L4" s="112"/>
      <c r="M4" s="112"/>
    </row>
    <row r="5" spans="1:17" ht="15" thickBot="1" x14ac:dyDescent="0.35">
      <c r="A5" s="49" t="s">
        <v>358</v>
      </c>
      <c r="B5" s="42" t="s">
        <v>361</v>
      </c>
      <c r="C5" s="152" t="str">
        <f>IF(LEFT(B5,1)=VLOOKUP(B4,'SJC data'!$B$3:$C$276,2,FALSE),"","Wrong Unit and/or Wrong Skillcode")</f>
        <v/>
      </c>
      <c r="D5" s="153"/>
      <c r="E5" s="153"/>
      <c r="F5" s="153"/>
      <c r="G5" s="153"/>
      <c r="H5" s="153"/>
      <c r="I5" s="49" t="s">
        <v>279</v>
      </c>
      <c r="J5" s="50">
        <v>5.5E-2</v>
      </c>
      <c r="K5" s="50">
        <v>5.0000000000000001E-3</v>
      </c>
      <c r="L5" s="112"/>
      <c r="M5" s="112"/>
    </row>
    <row r="6" spans="1:17" ht="15" thickBot="1" x14ac:dyDescent="0.35">
      <c r="A6" s="49" t="s">
        <v>419</v>
      </c>
      <c r="B6" s="42" t="s">
        <v>372</v>
      </c>
      <c r="C6" s="113">
        <f>IF(LEFT(B5,1)="P",VLOOKUP(B6,'Chart Data and Data Validation'!$B$36:$E$42,3,FALSE),VLOOKUP(B6,'Chart Data and Data Validation'!$B$36:$E$42,4,FALSE))</f>
        <v>254.79984089101032</v>
      </c>
      <c r="D6" t="s">
        <v>401</v>
      </c>
      <c r="I6" s="49" t="s">
        <v>280</v>
      </c>
      <c r="J6" s="50">
        <v>5.5E-2</v>
      </c>
      <c r="K6" s="50">
        <v>5.0000000000000001E-3</v>
      </c>
      <c r="L6" s="112"/>
      <c r="M6" s="112"/>
    </row>
    <row r="7" spans="1:17" ht="15" customHeight="1" thickBot="1" x14ac:dyDescent="0.35">
      <c r="A7" s="114" t="s">
        <v>395</v>
      </c>
      <c r="B7" s="111">
        <f>+B3/VLOOKUP(B4,'SJC data'!$B$3:$J$276,9,FALSE)</f>
        <v>0.96383647798742134</v>
      </c>
      <c r="C7" s="167" t="str">
        <f>VLOOKUP(B7/VLOOKUP(B4,'SJC data'!$B$3:$K$276,10,FALSE),'Chart Data and Data Validation'!$B$47:$C$52,2)</f>
        <v>You may receive average selective funds because your comparatio is relatively similar to your peers</v>
      </c>
      <c r="D7" s="167"/>
      <c r="E7" s="167"/>
      <c r="F7" s="167"/>
      <c r="G7" s="167"/>
      <c r="H7" s="115"/>
      <c r="I7" s="49" t="s">
        <v>281</v>
      </c>
      <c r="J7" s="50">
        <v>5.5E-2</v>
      </c>
      <c r="K7" s="50">
        <v>5.0000000000000001E-3</v>
      </c>
      <c r="L7" s="112"/>
      <c r="M7" s="112"/>
    </row>
    <row r="8" spans="1:17" ht="15.75" customHeight="1" thickBot="1" x14ac:dyDescent="0.35">
      <c r="A8" s="114" t="s">
        <v>393</v>
      </c>
      <c r="B8" s="111">
        <f>VLOOKUP(B4,'SJC data'!$B$3:$K$276,10,FALSE)</f>
        <v>1.0104284801399119</v>
      </c>
      <c r="C8" s="167"/>
      <c r="D8" s="167"/>
      <c r="E8" s="167"/>
      <c r="F8" s="167"/>
      <c r="G8" s="167"/>
      <c r="H8" s="115"/>
      <c r="I8" s="49" t="s">
        <v>305</v>
      </c>
      <c r="J8" s="51">
        <v>7.0000000000000007E-2</v>
      </c>
    </row>
    <row r="9" spans="1:17" ht="15" thickBot="1" x14ac:dyDescent="0.35">
      <c r="B9" s="52"/>
      <c r="C9" s="2"/>
      <c r="D9" s="116"/>
      <c r="I9" s="49" t="s">
        <v>414</v>
      </c>
      <c r="J9" s="117">
        <v>8.5</v>
      </c>
    </row>
    <row r="10" spans="1:17" ht="15" thickBot="1" x14ac:dyDescent="0.35"/>
    <row r="11" spans="1:17" ht="15" thickBot="1" x14ac:dyDescent="0.35">
      <c r="B11" s="165" t="s">
        <v>341</v>
      </c>
      <c r="C11" s="165"/>
      <c r="D11" s="2">
        <v>2027</v>
      </c>
      <c r="E11" s="2">
        <v>2028</v>
      </c>
      <c r="F11" s="2">
        <v>2029</v>
      </c>
      <c r="G11" s="2">
        <v>2030</v>
      </c>
      <c r="H11" s="118" t="s">
        <v>368</v>
      </c>
      <c r="I11" s="119" t="s">
        <v>357</v>
      </c>
      <c r="J11" s="120" t="s">
        <v>383</v>
      </c>
      <c r="K11" s="120" t="s">
        <v>356</v>
      </c>
      <c r="L11" s="170" t="s">
        <v>388</v>
      </c>
      <c r="M11" s="170"/>
      <c r="N11" s="170"/>
      <c r="O11" s="170"/>
      <c r="P11" s="170"/>
      <c r="Q11" s="171"/>
    </row>
    <row r="12" spans="1:17" x14ac:dyDescent="0.3">
      <c r="A12" s="121"/>
      <c r="B12" s="172" t="s">
        <v>340</v>
      </c>
      <c r="C12" s="173"/>
      <c r="D12" s="42" t="s">
        <v>355</v>
      </c>
      <c r="E12" s="42" t="s">
        <v>355</v>
      </c>
      <c r="F12" s="42" t="s">
        <v>355</v>
      </c>
      <c r="G12" s="42" t="s">
        <v>355</v>
      </c>
      <c r="H12" s="122" t="s">
        <v>402</v>
      </c>
      <c r="I12" s="123" t="s">
        <v>429</v>
      </c>
      <c r="J12" s="124" t="s">
        <v>430</v>
      </c>
      <c r="K12" s="124" t="s">
        <v>431</v>
      </c>
      <c r="L12" s="125" t="s">
        <v>411</v>
      </c>
      <c r="M12" s="125"/>
      <c r="N12" s="125"/>
      <c r="O12" s="125"/>
      <c r="P12" s="125"/>
      <c r="Q12" s="126"/>
    </row>
    <row r="13" spans="1:17" x14ac:dyDescent="0.3">
      <c r="B13" s="165" t="s">
        <v>390</v>
      </c>
      <c r="C13" s="166"/>
      <c r="D13" s="42" t="s">
        <v>355</v>
      </c>
      <c r="E13" s="42" t="s">
        <v>355</v>
      </c>
      <c r="F13" s="42" t="s">
        <v>355</v>
      </c>
      <c r="G13" s="42" t="s">
        <v>355</v>
      </c>
      <c r="H13" s="122" t="s">
        <v>403</v>
      </c>
      <c r="I13" s="127">
        <v>0.02</v>
      </c>
      <c r="J13" s="124" t="s">
        <v>444</v>
      </c>
      <c r="K13" s="124" t="s">
        <v>423</v>
      </c>
      <c r="L13" s="125"/>
      <c r="M13" s="125"/>
      <c r="N13" s="125"/>
      <c r="O13" s="125"/>
      <c r="P13" s="125"/>
      <c r="Q13" s="126"/>
    </row>
    <row r="14" spans="1:17" ht="15" thickBot="1" x14ac:dyDescent="0.35">
      <c r="B14" s="165" t="s">
        <v>327</v>
      </c>
      <c r="C14" s="166"/>
      <c r="D14" s="42" t="s">
        <v>355</v>
      </c>
      <c r="E14" s="42" t="s">
        <v>355</v>
      </c>
      <c r="F14" s="42" t="s">
        <v>355</v>
      </c>
      <c r="G14" s="42" t="s">
        <v>355</v>
      </c>
      <c r="H14" s="122" t="s">
        <v>404</v>
      </c>
      <c r="I14" s="128" t="s">
        <v>384</v>
      </c>
      <c r="J14" s="129" t="s">
        <v>385</v>
      </c>
      <c r="K14" s="129" t="s">
        <v>386</v>
      </c>
      <c r="L14" s="130" t="s">
        <v>394</v>
      </c>
      <c r="M14" s="130"/>
      <c r="N14" s="130"/>
      <c r="O14" s="130"/>
      <c r="P14" s="130"/>
      <c r="Q14" s="131"/>
    </row>
    <row r="16" spans="1:17" ht="15" thickBot="1" x14ac:dyDescent="0.35">
      <c r="B16" s="168" t="s">
        <v>426</v>
      </c>
      <c r="C16" s="168"/>
      <c r="D16" s="8" t="s">
        <v>396</v>
      </c>
      <c r="E16" s="8" t="s">
        <v>397</v>
      </c>
      <c r="F16" s="8" t="s">
        <v>398</v>
      </c>
      <c r="G16" s="8" t="s">
        <v>399</v>
      </c>
    </row>
    <row r="17" spans="1:10" ht="15" thickBot="1" x14ac:dyDescent="0.35">
      <c r="A17" s="132" t="s">
        <v>326</v>
      </c>
      <c r="B17" s="169">
        <f>+B3*(1+'Inputs and Summary'!J3)</f>
        <v>157847.5</v>
      </c>
      <c r="C17" s="169"/>
      <c r="D17" s="54">
        <f>+B17*(1+D20)</f>
        <v>168896.82500000001</v>
      </c>
      <c r="E17" s="54">
        <f t="shared" ref="E17:G17" si="0">+D17*(1+E20)</f>
        <v>178186.150375</v>
      </c>
      <c r="F17" s="54">
        <f t="shared" si="0"/>
        <v>187986.38864562497</v>
      </c>
      <c r="G17" s="54">
        <f t="shared" si="0"/>
        <v>198325.64002113434</v>
      </c>
      <c r="H17" s="55">
        <f>+G17/B3-1</f>
        <v>0.29413141938749976</v>
      </c>
      <c r="I17" s="56" t="s">
        <v>389</v>
      </c>
    </row>
    <row r="18" spans="1:10" ht="15" thickBot="1" x14ac:dyDescent="0.35">
      <c r="A18" s="132" t="s">
        <v>420</v>
      </c>
      <c r="B18" s="160">
        <f>+'Inputs and Summary'!J3</f>
        <v>0.03</v>
      </c>
      <c r="C18" s="160"/>
      <c r="D18" s="57">
        <f>VLOOKUP('Inputs and Summary'!D13,'Chart Data and Data Validation'!$B$27:$D$29,3,FALSE)</f>
        <v>2.5999999999999999E-2</v>
      </c>
      <c r="E18" s="57">
        <f>VLOOKUP('Inputs and Summary'!E13,'Chart Data and Data Validation'!$B$27:$D$29,3,FALSE)</f>
        <v>2.5999999999999999E-2</v>
      </c>
      <c r="F18" s="57">
        <f>VLOOKUP('Inputs and Summary'!F13,'Chart Data and Data Validation'!$B$27:$D$29,3,FALSE)</f>
        <v>2.5999999999999999E-2</v>
      </c>
      <c r="G18" s="57">
        <f>VLOOKUP('Inputs and Summary'!G13,'Chart Data and Data Validation'!$B$27:$D$29,3,FALSE)</f>
        <v>2.5999999999999999E-2</v>
      </c>
      <c r="H18" s="58">
        <f>+G17-B3</f>
        <v>45075.640021134343</v>
      </c>
      <c r="I18" s="56" t="s">
        <v>412</v>
      </c>
    </row>
    <row r="19" spans="1:10" ht="15" thickBot="1" x14ac:dyDescent="0.35">
      <c r="A19" s="132" t="s">
        <v>449</v>
      </c>
      <c r="B19" s="161" t="str">
        <f>C5</f>
        <v/>
      </c>
      <c r="C19" s="161"/>
      <c r="D19" s="133">
        <f>+(J4-D18)*VLOOKUP(D12,'Chart Data and Data Validation'!$B$27:$E$29,4,FALSE)</f>
        <v>4.4000000000000011E-2</v>
      </c>
      <c r="E19" s="133">
        <f>+(J5-E18)*VLOOKUP(E12,'Chart Data and Data Validation'!$B$27:$E$29,4,FALSE)</f>
        <v>2.9000000000000001E-2</v>
      </c>
      <c r="F19" s="133">
        <f>+(J6-F18)*VLOOKUP(F12,'Chart Data and Data Validation'!$B$27:$E$29,4,FALSE)</f>
        <v>2.9000000000000001E-2</v>
      </c>
      <c r="G19" s="133">
        <f>+(J7-G18)*VLOOKUP(G12,'Chart Data and Data Validation'!$B$27:$E$29,4,FALSE)</f>
        <v>2.9000000000000001E-2</v>
      </c>
    </row>
    <row r="20" spans="1:10" ht="15" thickTop="1" x14ac:dyDescent="0.3">
      <c r="A20" s="132" t="s">
        <v>363</v>
      </c>
      <c r="B20" s="162">
        <f>+B18</f>
        <v>0.03</v>
      </c>
      <c r="C20" s="162"/>
      <c r="D20" s="3">
        <f>+D19+D18</f>
        <v>7.0000000000000007E-2</v>
      </c>
      <c r="E20" s="3">
        <f t="shared" ref="E20:G20" si="1">+E19+E18</f>
        <v>5.5E-2</v>
      </c>
      <c r="F20" s="3">
        <f t="shared" si="1"/>
        <v>5.5E-2</v>
      </c>
      <c r="G20" s="3">
        <f t="shared" si="1"/>
        <v>5.5E-2</v>
      </c>
    </row>
    <row r="21" spans="1:10" ht="15" thickBot="1" x14ac:dyDescent="0.35">
      <c r="A21" s="134" t="s">
        <v>434</v>
      </c>
      <c r="B21" s="151">
        <f>VLOOKUP(D2,'Chart Data and Data Validation'!$B$56:$D$58,2)</f>
        <v>0.03</v>
      </c>
      <c r="C21" s="151"/>
      <c r="D21" s="59">
        <f>VLOOKUP($D$2+1,'Chart Data and Data Validation'!$B$56:$D$58,3)</f>
        <v>0.04</v>
      </c>
      <c r="E21" s="59">
        <f>VLOOKUP($D$2+2,'Chart Data and Data Validation'!$B$56:$D$58,3)</f>
        <v>0.04</v>
      </c>
      <c r="F21" s="59">
        <f>VLOOKUP($D$2+3,'Chart Data and Data Validation'!$B$56:$D$58,3)</f>
        <v>0.04</v>
      </c>
      <c r="G21" s="59">
        <f>VLOOKUP($D$2+4,'Chart Data and Data Validation'!$B$56:$D$58,3)</f>
        <v>0.04</v>
      </c>
      <c r="H21" s="39"/>
    </row>
    <row r="22" spans="1:10" ht="15" thickBot="1" x14ac:dyDescent="0.35">
      <c r="B22" s="60" t="s">
        <v>424</v>
      </c>
      <c r="C22" s="61" t="s">
        <v>425</v>
      </c>
      <c r="D22" s="135">
        <v>2027</v>
      </c>
      <c r="E22" s="136">
        <v>2028</v>
      </c>
      <c r="F22" s="136">
        <v>2029</v>
      </c>
      <c r="G22" s="137">
        <v>2030</v>
      </c>
      <c r="H22" s="138" t="s">
        <v>389</v>
      </c>
    </row>
    <row r="23" spans="1:10" x14ac:dyDescent="0.3">
      <c r="A23" s="49" t="s">
        <v>400</v>
      </c>
      <c r="B23" s="163">
        <f>+B3</f>
        <v>153250</v>
      </c>
      <c r="C23" s="164"/>
      <c r="D23" s="156">
        <f>+D17</f>
        <v>168896.82500000001</v>
      </c>
      <c r="E23" s="158">
        <f>+E17</f>
        <v>178186.150375</v>
      </c>
      <c r="F23" s="158">
        <f>+F17</f>
        <v>187986.38864562497</v>
      </c>
      <c r="G23" s="154">
        <f>+G17</f>
        <v>198325.64002113434</v>
      </c>
      <c r="H23" s="154">
        <f>SUM(D23:G24)+B24+C24</f>
        <v>737391.29250329768</v>
      </c>
    </row>
    <row r="24" spans="1:10" x14ac:dyDescent="0.3">
      <c r="A24" s="49" t="s">
        <v>427</v>
      </c>
      <c r="B24" s="62">
        <f>(+B3/2080*J3*8)*NETWORKDAYS(46073,46289)</f>
        <v>2740.8173076923076</v>
      </c>
      <c r="C24" s="139">
        <f>+NETWORKDAYS(46289,46387)*8*J3*B3/2080</f>
        <v>1255.4711538461538</v>
      </c>
      <c r="D24" s="157"/>
      <c r="E24" s="159"/>
      <c r="F24" s="159"/>
      <c r="G24" s="155"/>
      <c r="H24" s="155"/>
      <c r="I24" s="140"/>
      <c r="J24" s="39"/>
    </row>
    <row r="25" spans="1:10" x14ac:dyDescent="0.3">
      <c r="A25" s="49" t="s">
        <v>413</v>
      </c>
      <c r="B25" s="62">
        <f>+C6/2080*B24</f>
        <v>335.74991053429198</v>
      </c>
      <c r="C25" s="63">
        <f>+((C6/2080)*(8.5/6.5))*C24</f>
        <v>201.11669578902749</v>
      </c>
      <c r="D25" s="64">
        <f>IF(LEFT($B$5,1)="T",+((D23/2080)*1.75)*$C$6,+((D23/2080)+$J$9)*$C$6)</f>
        <v>22855.646790360519</v>
      </c>
      <c r="E25" s="65">
        <f>IF(LEFT($B$5,1)="T",+((E23/2080)*1.75)*$C$6,+((E23/2080)+$J$9)*$C$6)</f>
        <v>23993.588438213799</v>
      </c>
      <c r="F25" s="65">
        <f>IF(LEFT($B$5,1)="T",+((F23/2080)*1.75)*$C$6,+((F23/2080)+$J$9)*$C$6)</f>
        <v>25194.116876699009</v>
      </c>
      <c r="G25" s="66">
        <f>IF(LEFT($B$5,1)="T",+((G23/2080)*1.75)*$C$6,+((G23/2080)+$J$9)*$C$6)</f>
        <v>26460.674379300905</v>
      </c>
      <c r="H25" s="141">
        <f>SUM(D25:G25)+B25+C25</f>
        <v>99040.893090897545</v>
      </c>
      <c r="J25" s="39"/>
    </row>
    <row r="26" spans="1:10" x14ac:dyDescent="0.3">
      <c r="A26" s="49" t="str">
        <f>"EIP (assumes "&amp;(VLOOKUP(B5,'Chart Data and Data Validation'!$B$31:$D$32,3,FALSE)*100)&amp;"% raise in on 2/21/2025 and "&amp;(VLOOKUP(B5,'Chart Data and Data Validation'!$B$31:$C$32,2,FALSE)*100) &amp;"% on 2/23/2024)"</f>
        <v>EIP (assumes 3% raise in on 2/21/2025 and 3% on 2/23/2024)</v>
      </c>
      <c r="B26" s="62">
        <f>+'Chart Data and Data Validation'!F63*2%*1.31</f>
        <v>4349.9364238222788</v>
      </c>
      <c r="C26" s="67"/>
      <c r="D26" s="64">
        <f>'Chart Data and Data Validation'!F64*'Inputs and Summary'!$J$8*VLOOKUP(D14,'Chart Data and Data Validation'!$B$27:$C$29,2,FALSE)</f>
        <v>12282.450287991098</v>
      </c>
      <c r="E26" s="65">
        <f>'Chart Data and Data Validation'!F65*'Inputs and Summary'!$J$8*VLOOKUP(E14,'Chart Data and Data Validation'!$B$27:$C$29,2,FALSE)</f>
        <v>13126.367011210095</v>
      </c>
      <c r="F26" s="65">
        <f>'Chart Data and Data Validation'!F66*'Inputs and Summary'!$J$8*VLOOKUP(F14,'Chart Data and Data Validation'!$B$27:$C$29,2,FALSE)</f>
        <v>13879.324362994861</v>
      </c>
      <c r="G26" s="66">
        <f>'Chart Data and Data Validation'!F67*'Inputs and Summary'!J8*VLOOKUP(G14,'Chart Data and Data Validation'!$B$27:$C$29,2,FALSE)</f>
        <v>14642.687202959576</v>
      </c>
      <c r="H26" s="141">
        <f>SUM(D26:G26)+B26</f>
        <v>58280.765288977906</v>
      </c>
      <c r="J26" s="39"/>
    </row>
    <row r="27" spans="1:10" x14ac:dyDescent="0.3">
      <c r="A27" s="49" t="s">
        <v>408</v>
      </c>
      <c r="B27" s="62">
        <f>+B24*0.06</f>
        <v>164.44903846153846</v>
      </c>
      <c r="C27" s="63">
        <f>+C24*0.06</f>
        <v>75.328269230769223</v>
      </c>
      <c r="D27" s="64">
        <f>+D17*0.06</f>
        <v>10133.809500000001</v>
      </c>
      <c r="E27" s="65">
        <f>+E17*0.06</f>
        <v>10691.1690225</v>
      </c>
      <c r="F27" s="65">
        <f>+F17*0.06</f>
        <v>11279.183318737498</v>
      </c>
      <c r="G27" s="66">
        <f>+G17*0.06</f>
        <v>11899.538401268061</v>
      </c>
      <c r="H27" s="141">
        <f>SUM(D27:G27)+B27+C27</f>
        <v>44243.477550197873</v>
      </c>
      <c r="J27" s="39"/>
    </row>
    <row r="28" spans="1:10" x14ac:dyDescent="0.3">
      <c r="A28" s="49" t="str">
        <f>"Non-Matching SCRC  (Base + EIP)"</f>
        <v>Non-Matching SCRC  (Base + EIP)</v>
      </c>
      <c r="B28" s="62">
        <f>+(B24+B26)*VLOOKUP(D2,'Chart Data and Data Validation'!$B$56:$C$58,2)</f>
        <v>212.72261194543759</v>
      </c>
      <c r="C28" s="63">
        <f>+C24*VLOOKUP(D2,'Chart Data and Data Validation'!$B$56:$C$58,2)</f>
        <v>37.664134615384611</v>
      </c>
      <c r="D28" s="64">
        <f>(D17*D21)+(D21*D26)</f>
        <v>7247.1710115196447</v>
      </c>
      <c r="E28" s="65">
        <f>(E17*E21)+(E21*E26)</f>
        <v>7652.5006954484043</v>
      </c>
      <c r="F28" s="65">
        <f>(F17*F21)+(F21*F26)</f>
        <v>8074.6285203447933</v>
      </c>
      <c r="G28" s="66">
        <f>(G17*G21)+(G21*G26)</f>
        <v>8518.733088963756</v>
      </c>
      <c r="H28" s="141">
        <f>SUM(D28:G28)+B28+C28</f>
        <v>31743.420062837424</v>
      </c>
      <c r="J28" s="39"/>
    </row>
    <row r="29" spans="1:10" x14ac:dyDescent="0.3">
      <c r="A29" s="49" t="s">
        <v>448</v>
      </c>
      <c r="B29" s="142"/>
      <c r="C29" s="139"/>
      <c r="D29" s="64">
        <f>40*0.33*210</f>
        <v>2772</v>
      </c>
      <c r="E29" s="65">
        <f>40*0.33*210</f>
        <v>2772</v>
      </c>
      <c r="F29" s="65">
        <f>40*0.34*210</f>
        <v>2856.0000000000005</v>
      </c>
      <c r="G29" s="66"/>
      <c r="H29" s="141">
        <f>SUM(D29:G29)</f>
        <v>8400</v>
      </c>
      <c r="J29" s="39"/>
    </row>
    <row r="30" spans="1:10" ht="15" thickBot="1" x14ac:dyDescent="0.35">
      <c r="A30" s="49" t="s">
        <v>428</v>
      </c>
      <c r="B30" s="149">
        <f>+B23*(1+J3)/2080*8</f>
        <v>607.10576923076928</v>
      </c>
      <c r="C30" s="150"/>
      <c r="D30" s="68">
        <f>+D23/2080*8*3</f>
        <v>1948.8095192307692</v>
      </c>
      <c r="E30" s="69">
        <f>+E23/2080*8*3</f>
        <v>2055.9940427884612</v>
      </c>
      <c r="F30" s="69">
        <f>+F23/2080*8*3</f>
        <v>2169.0737151418266</v>
      </c>
      <c r="G30" s="70">
        <f>+G23/2080*8*3</f>
        <v>2288.3727694746271</v>
      </c>
      <c r="H30" s="143">
        <f>SUM(D30:G30)+B30</f>
        <v>9069.3558158664528</v>
      </c>
      <c r="I30" s="140"/>
    </row>
    <row r="31" spans="1:10" ht="15" thickBot="1" x14ac:dyDescent="0.35">
      <c r="B31" s="147">
        <f>SUM(B24:C30)</f>
        <v>9980.3613151679583</v>
      </c>
      <c r="C31" s="148"/>
      <c r="D31" s="71">
        <f>SUM(D23:D30)</f>
        <v>226136.71210910202</v>
      </c>
      <c r="E31" s="72">
        <f t="shared" ref="E31:G31" si="2">SUM(E23:E30)</f>
        <v>238477.76958516074</v>
      </c>
      <c r="F31" s="72">
        <f t="shared" si="2"/>
        <v>251438.71543954295</v>
      </c>
      <c r="G31" s="73">
        <f t="shared" si="2"/>
        <v>262135.64586310129</v>
      </c>
      <c r="H31" s="74">
        <f>SUM(H23:H30)</f>
        <v>988169.20431207493</v>
      </c>
    </row>
    <row r="32" spans="1:10" ht="15" thickBot="1" x14ac:dyDescent="0.35">
      <c r="B32" s="145" t="s">
        <v>437</v>
      </c>
      <c r="C32" s="146"/>
    </row>
    <row r="34" spans="2:7" x14ac:dyDescent="0.3">
      <c r="B34" s="144" t="s">
        <v>432</v>
      </c>
      <c r="C34" t="s">
        <v>433</v>
      </c>
      <c r="D34" s="65">
        <f>+D23/2080*8*3</f>
        <v>1948.8095192307692</v>
      </c>
      <c r="E34" s="65">
        <f t="shared" ref="E34:G34" si="3">+E23/2080*8*3</f>
        <v>2055.9940427884612</v>
      </c>
      <c r="F34" s="65">
        <f t="shared" si="3"/>
        <v>2169.0737151418266</v>
      </c>
      <c r="G34" s="65">
        <f t="shared" si="3"/>
        <v>2288.3727694746271</v>
      </c>
    </row>
    <row r="35" spans="2:7" x14ac:dyDescent="0.3">
      <c r="C35" t="s">
        <v>435</v>
      </c>
    </row>
    <row r="36" spans="2:7" x14ac:dyDescent="0.3">
      <c r="C36" t="s">
        <v>436</v>
      </c>
    </row>
    <row r="37" spans="2:7" x14ac:dyDescent="0.3">
      <c r="C37" t="s">
        <v>445</v>
      </c>
    </row>
  </sheetData>
  <sheetProtection algorithmName="SHA-512" hashValue="jfNHTH2+/9WBL14eP8gVfGW9IJc3JyhTJfRA28Vxpt3eii0a+m86yTjl39lKoe/4sryL3016FsfJkycjVdstjQ==" saltValue="MygFqbNSqr0U12DzwALU+g==" spinCount="100000" sheet="1" selectLockedCells="1"/>
  <mergeCells count="22">
    <mergeCell ref="C7:G8"/>
    <mergeCell ref="B16:C16"/>
    <mergeCell ref="B17:C17"/>
    <mergeCell ref="L11:Q11"/>
    <mergeCell ref="B11:C11"/>
    <mergeCell ref="B12:C12"/>
    <mergeCell ref="B32:C32"/>
    <mergeCell ref="B31:C31"/>
    <mergeCell ref="B30:C30"/>
    <mergeCell ref="B21:C21"/>
    <mergeCell ref="C5:H5"/>
    <mergeCell ref="H23:H24"/>
    <mergeCell ref="D23:D24"/>
    <mergeCell ref="E23:E24"/>
    <mergeCell ref="F23:F24"/>
    <mergeCell ref="G23:G24"/>
    <mergeCell ref="B18:C18"/>
    <mergeCell ref="B19:C19"/>
    <mergeCell ref="B20:C20"/>
    <mergeCell ref="B23:C23"/>
    <mergeCell ref="B13:C13"/>
    <mergeCell ref="B14:C14"/>
  </mergeCells>
  <phoneticPr fontId="8" type="noConversion"/>
  <dataValidations count="1">
    <dataValidation type="whole" allowBlank="1" showInputMessage="1" showErrorMessage="1" sqref="B2:C2" xr:uid="{60294C4D-D344-470A-ACA9-11AFB01E22C8}">
      <formula1>1946</formula1>
      <formula2>2008</formula2>
    </dataValidation>
  </dataValidations>
  <pageMargins left="0.7" right="0.7" top="0.75" bottom="0.75" header="0.3" footer="0.3"/>
  <pageSetup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51A04CE-D005-461D-8DCE-09B3A805E435}">
          <x14:formula1>
            <xm:f>'Chart Data and Data Validation'!$B$27:$B$29</xm:f>
          </x14:formula1>
          <xm:sqref>D12:G14</xm:sqref>
        </x14:dataValidation>
        <x14:dataValidation type="list" allowBlank="1" showInputMessage="1" showErrorMessage="1" xr:uid="{888B55E0-E409-420E-901F-1CAE11424DB5}">
          <x14:formula1>
            <xm:f>'Chart Data and Data Validation'!$B$36:$B$42</xm:f>
          </x14:formula1>
          <xm:sqref>B6</xm:sqref>
        </x14:dataValidation>
        <x14:dataValidation type="list" allowBlank="1" showInputMessage="1" showErrorMessage="1" xr:uid="{C1592386-EFC5-4B3F-A1F6-0F309DE39F18}">
          <x14:formula1>
            <xm:f>'SJC data'!$B$3:$B$276</xm:f>
          </x14:formula1>
          <xm:sqref>B4:C4</xm:sqref>
        </x14:dataValidation>
        <x14:dataValidation type="list" allowBlank="1" showInputMessage="1" showErrorMessage="1" xr:uid="{45BC5308-6934-45C9-A747-80A5BF36BEC5}">
          <x14:formula1>
            <xm:f>'Chart Data and Data Validation'!$B$31:$B$32</xm:f>
          </x14:formula1>
          <xm:sqref>B5:B6 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C806-B58B-47E0-B84A-6710F4A5EFF6}">
  <sheetPr>
    <pageSetUpPr fitToPage="1"/>
  </sheetPr>
  <dimension ref="B2:L25"/>
  <sheetViews>
    <sheetView zoomScaleNormal="100" workbookViewId="0">
      <selection activeCell="E4" sqref="E4:H4"/>
    </sheetView>
  </sheetViews>
  <sheetFormatPr defaultRowHeight="14.4" x14ac:dyDescent="0.3"/>
  <cols>
    <col min="2" max="2" width="14.88671875" customWidth="1"/>
    <col min="14" max="14" width="8" customWidth="1"/>
    <col min="15" max="15" width="15.109375" bestFit="1" customWidth="1"/>
  </cols>
  <sheetData>
    <row r="2" spans="2:12" ht="28.8" x14ac:dyDescent="0.55000000000000004">
      <c r="B2" s="7" t="s">
        <v>339</v>
      </c>
      <c r="C2" s="7"/>
      <c r="E2" s="198" t="s">
        <v>338</v>
      </c>
      <c r="F2" s="198"/>
      <c r="G2" s="198"/>
      <c r="H2" s="198"/>
      <c r="I2" s="198" t="s">
        <v>337</v>
      </c>
      <c r="J2" s="198"/>
      <c r="K2" s="198"/>
      <c r="L2" s="198"/>
    </row>
    <row r="3" spans="2:12" ht="29.4" thickBot="1" x14ac:dyDescent="0.35">
      <c r="B3" s="33" t="s">
        <v>336</v>
      </c>
      <c r="C3" s="33" t="s">
        <v>335</v>
      </c>
      <c r="D3" s="33" t="s">
        <v>334</v>
      </c>
      <c r="E3" s="32" t="s">
        <v>333</v>
      </c>
      <c r="F3" s="32" t="s">
        <v>332</v>
      </c>
      <c r="G3" s="32" t="s">
        <v>331</v>
      </c>
      <c r="H3" s="31" t="s">
        <v>330</v>
      </c>
      <c r="I3" s="32" t="s">
        <v>333</v>
      </c>
      <c r="J3" s="32" t="s">
        <v>332</v>
      </c>
      <c r="K3" s="32" t="s">
        <v>331</v>
      </c>
      <c r="L3" s="31" t="s">
        <v>330</v>
      </c>
    </row>
    <row r="4" spans="2:12" x14ac:dyDescent="0.3">
      <c r="B4" s="30">
        <v>2025</v>
      </c>
      <c r="C4" s="29">
        <v>2026</v>
      </c>
      <c r="D4" s="199">
        <v>0.05</v>
      </c>
      <c r="E4" s="190">
        <v>1.31</v>
      </c>
      <c r="F4" s="191"/>
      <c r="G4" s="191"/>
      <c r="H4" s="202"/>
      <c r="I4" s="203">
        <f>+E4*D4</f>
        <v>6.5500000000000003E-2</v>
      </c>
      <c r="J4" s="204"/>
      <c r="K4" s="204"/>
      <c r="L4" s="205"/>
    </row>
    <row r="5" spans="2:12" x14ac:dyDescent="0.3">
      <c r="B5" s="28">
        <v>2024</v>
      </c>
      <c r="C5" s="27">
        <v>2025</v>
      </c>
      <c r="D5" s="200"/>
      <c r="E5" s="26">
        <v>0</v>
      </c>
      <c r="F5" s="15">
        <v>0</v>
      </c>
      <c r="G5" s="15">
        <v>0.56000000000000005</v>
      </c>
      <c r="H5" s="15">
        <v>0.19</v>
      </c>
      <c r="I5" s="13">
        <f t="shared" ref="I5:L7" si="0">+E5*5%</f>
        <v>0</v>
      </c>
      <c r="J5" s="13">
        <f t="shared" si="0"/>
        <v>0</v>
      </c>
      <c r="K5" s="13">
        <f t="shared" si="0"/>
        <v>2.8000000000000004E-2</v>
      </c>
      <c r="L5" s="25">
        <f t="shared" si="0"/>
        <v>9.5000000000000015E-3</v>
      </c>
    </row>
    <row r="6" spans="2:12" x14ac:dyDescent="0.3">
      <c r="B6" s="28">
        <v>2023</v>
      </c>
      <c r="C6" s="27">
        <v>2024</v>
      </c>
      <c r="D6" s="200"/>
      <c r="E6" s="26">
        <v>0.72</v>
      </c>
      <c r="F6" s="15">
        <v>0.8</v>
      </c>
      <c r="G6" s="15">
        <v>1.19</v>
      </c>
      <c r="H6" s="15">
        <v>0.9</v>
      </c>
      <c r="I6" s="13">
        <f t="shared" si="0"/>
        <v>3.5999999999999997E-2</v>
      </c>
      <c r="J6" s="13">
        <f t="shared" si="0"/>
        <v>4.0000000000000008E-2</v>
      </c>
      <c r="K6" s="13">
        <f t="shared" si="0"/>
        <v>5.9499999999999997E-2</v>
      </c>
      <c r="L6" s="25">
        <f t="shared" si="0"/>
        <v>4.5000000000000005E-2</v>
      </c>
    </row>
    <row r="7" spans="2:12" x14ac:dyDescent="0.3">
      <c r="B7" s="28">
        <v>2022</v>
      </c>
      <c r="C7" s="27">
        <v>2023</v>
      </c>
      <c r="D7" s="200"/>
      <c r="E7" s="26">
        <v>1.1599999999999999</v>
      </c>
      <c r="F7" s="15">
        <v>0.71</v>
      </c>
      <c r="G7" s="15">
        <v>1.48</v>
      </c>
      <c r="H7" s="15">
        <v>1.1100000000000001</v>
      </c>
      <c r="I7" s="13">
        <f t="shared" si="0"/>
        <v>5.7999999999999996E-2</v>
      </c>
      <c r="J7" s="13">
        <f t="shared" si="0"/>
        <v>3.5499999999999997E-2</v>
      </c>
      <c r="K7" s="13">
        <f t="shared" si="0"/>
        <v>7.3999999999999996E-2</v>
      </c>
      <c r="L7" s="25">
        <f t="shared" si="0"/>
        <v>5.5500000000000008E-2</v>
      </c>
    </row>
    <row r="8" spans="2:12" x14ac:dyDescent="0.3">
      <c r="B8" s="28">
        <v>2021</v>
      </c>
      <c r="C8" s="27">
        <v>2022</v>
      </c>
      <c r="D8" s="200"/>
      <c r="E8" s="26">
        <v>1.1200000000000001</v>
      </c>
      <c r="F8" s="15">
        <v>1.1100000000000001</v>
      </c>
      <c r="G8" s="15">
        <v>1.42</v>
      </c>
      <c r="H8" s="15">
        <v>1.22</v>
      </c>
      <c r="I8" s="13">
        <v>5.6000000000000008E-2</v>
      </c>
      <c r="J8" s="13">
        <v>5.5500000000000008E-2</v>
      </c>
      <c r="K8" s="13">
        <v>7.0999999999999994E-2</v>
      </c>
      <c r="L8" s="25">
        <v>6.0999999999999999E-2</v>
      </c>
    </row>
    <row r="9" spans="2:12" ht="15" thickBot="1" x14ac:dyDescent="0.35">
      <c r="B9" s="10">
        <v>2020</v>
      </c>
      <c r="C9" s="9">
        <v>2021</v>
      </c>
      <c r="D9" s="201"/>
      <c r="E9" s="24">
        <v>0.57999999999999996</v>
      </c>
      <c r="F9" s="23">
        <v>0.86</v>
      </c>
      <c r="G9" s="23">
        <v>0.49</v>
      </c>
      <c r="H9" s="23">
        <v>0.64</v>
      </c>
      <c r="I9" s="22">
        <v>2.8999999999999998E-2</v>
      </c>
      <c r="J9" s="22">
        <v>4.3000000000000003E-2</v>
      </c>
      <c r="K9" s="22">
        <v>2.4500000000000001E-2</v>
      </c>
      <c r="L9" s="21">
        <v>3.2000000000000001E-2</v>
      </c>
    </row>
    <row r="10" spans="2:12" x14ac:dyDescent="0.3">
      <c r="B10" s="20">
        <v>2019</v>
      </c>
      <c r="C10" s="19">
        <v>2020</v>
      </c>
      <c r="D10" s="187" t="s">
        <v>329</v>
      </c>
      <c r="E10" s="190">
        <v>0</v>
      </c>
      <c r="F10" s="191"/>
      <c r="G10" s="191"/>
      <c r="H10" s="192"/>
      <c r="I10" s="193">
        <v>0</v>
      </c>
      <c r="J10" s="194"/>
      <c r="K10" s="194"/>
      <c r="L10" s="195"/>
    </row>
    <row r="11" spans="2:12" x14ac:dyDescent="0.3">
      <c r="B11" s="12">
        <v>2018</v>
      </c>
      <c r="C11" s="11">
        <v>2019</v>
      </c>
      <c r="D11" s="188"/>
      <c r="E11" s="181">
        <v>1.6600000000000001</v>
      </c>
      <c r="F11" s="182"/>
      <c r="G11" s="182"/>
      <c r="H11" s="183"/>
      <c r="I11" s="184">
        <v>6.3846153846153858E-2</v>
      </c>
      <c r="J11" s="185"/>
      <c r="K11" s="185"/>
      <c r="L11" s="186"/>
    </row>
    <row r="12" spans="2:12" x14ac:dyDescent="0.3">
      <c r="B12" s="12">
        <v>2017</v>
      </c>
      <c r="C12" s="11">
        <v>2018</v>
      </c>
      <c r="D12" s="188"/>
      <c r="E12" s="181">
        <v>1.8699999999999999</v>
      </c>
      <c r="F12" s="182"/>
      <c r="G12" s="182"/>
      <c r="H12" s="183"/>
      <c r="I12" s="184">
        <v>7.1923076923076923E-2</v>
      </c>
      <c r="J12" s="185"/>
      <c r="K12" s="185"/>
      <c r="L12" s="186"/>
    </row>
    <row r="13" spans="2:12" x14ac:dyDescent="0.3">
      <c r="B13" s="12">
        <v>2016</v>
      </c>
      <c r="C13" s="11">
        <v>2017</v>
      </c>
      <c r="D13" s="188"/>
      <c r="E13" s="17">
        <v>0.95</v>
      </c>
      <c r="F13" s="15">
        <v>0.99</v>
      </c>
      <c r="G13" s="196">
        <v>0.97</v>
      </c>
      <c r="H13" s="183"/>
      <c r="I13" s="14">
        <v>3.653846153846154E-2</v>
      </c>
      <c r="J13" s="13">
        <v>3.8076923076923078E-2</v>
      </c>
      <c r="K13" s="197">
        <v>3.7307692307692306E-2</v>
      </c>
      <c r="L13" s="186"/>
    </row>
    <row r="14" spans="2:12" x14ac:dyDescent="0.3">
      <c r="B14" s="12">
        <v>2015</v>
      </c>
      <c r="C14" s="11">
        <v>2016</v>
      </c>
      <c r="D14" s="188"/>
      <c r="E14" s="16">
        <v>0.82499999999999996</v>
      </c>
      <c r="F14" s="18">
        <v>0.97499999999999998</v>
      </c>
      <c r="G14" s="196">
        <v>0.9</v>
      </c>
      <c r="H14" s="183"/>
      <c r="I14" s="14">
        <v>3.1730769230769229E-2</v>
      </c>
      <c r="J14" s="13">
        <v>3.7499999999999999E-2</v>
      </c>
      <c r="K14" s="197">
        <v>3.4615384615384617E-2</v>
      </c>
      <c r="L14" s="186"/>
    </row>
    <row r="15" spans="2:12" x14ac:dyDescent="0.3">
      <c r="B15" s="12">
        <v>2014</v>
      </c>
      <c r="C15" s="11">
        <v>2015</v>
      </c>
      <c r="D15" s="188"/>
      <c r="E15" s="16">
        <v>1.2250000000000001</v>
      </c>
      <c r="F15" s="18">
        <v>1.2749999999999999</v>
      </c>
      <c r="G15" s="196">
        <v>1.25</v>
      </c>
      <c r="H15" s="183"/>
      <c r="I15" s="14">
        <v>4.7115384615384615E-2</v>
      </c>
      <c r="J15" s="13">
        <v>4.9038461538461538E-2</v>
      </c>
      <c r="K15" s="197">
        <v>4.807692307692308E-2</v>
      </c>
      <c r="L15" s="186"/>
    </row>
    <row r="16" spans="2:12" x14ac:dyDescent="0.3">
      <c r="B16" s="12">
        <v>2013</v>
      </c>
      <c r="C16" s="11">
        <v>2014</v>
      </c>
      <c r="D16" s="188"/>
      <c r="E16" s="17">
        <v>1.6</v>
      </c>
      <c r="F16" s="18">
        <v>1.625</v>
      </c>
      <c r="G16" s="196">
        <v>1.7</v>
      </c>
      <c r="H16" s="183"/>
      <c r="I16" s="14">
        <v>6.1538461538461542E-2</v>
      </c>
      <c r="J16" s="13">
        <v>6.25E-2</v>
      </c>
      <c r="K16" s="197">
        <v>6.5384615384615388E-2</v>
      </c>
      <c r="L16" s="186"/>
    </row>
    <row r="17" spans="2:12" x14ac:dyDescent="0.3">
      <c r="B17" s="12">
        <v>2012</v>
      </c>
      <c r="C17" s="11">
        <v>2013</v>
      </c>
      <c r="D17" s="188"/>
      <c r="E17" s="16">
        <v>1.4750000000000001</v>
      </c>
      <c r="F17" s="15">
        <v>1.6</v>
      </c>
      <c r="G17" s="196">
        <v>1.6</v>
      </c>
      <c r="H17" s="183"/>
      <c r="I17" s="14">
        <v>5.673076923076923E-2</v>
      </c>
      <c r="J17" s="13">
        <v>6.1538461538461542E-2</v>
      </c>
      <c r="K17" s="197">
        <v>6.1538461538461542E-2</v>
      </c>
      <c r="L17" s="186"/>
    </row>
    <row r="18" spans="2:12" x14ac:dyDescent="0.3">
      <c r="B18" s="12">
        <v>2011</v>
      </c>
      <c r="C18" s="11">
        <v>2012</v>
      </c>
      <c r="D18" s="188"/>
      <c r="E18" s="17">
        <v>1.5</v>
      </c>
      <c r="F18" s="15">
        <v>1.5</v>
      </c>
      <c r="G18" s="196">
        <v>1.6</v>
      </c>
      <c r="H18" s="183"/>
      <c r="I18" s="14">
        <v>5.7692307692307696E-2</v>
      </c>
      <c r="J18" s="13">
        <v>5.7692307692307696E-2</v>
      </c>
      <c r="K18" s="197">
        <v>6.1538461538461542E-2</v>
      </c>
      <c r="L18" s="186"/>
    </row>
    <row r="19" spans="2:12" x14ac:dyDescent="0.3">
      <c r="B19" s="12">
        <v>2010</v>
      </c>
      <c r="C19" s="11">
        <v>2011</v>
      </c>
      <c r="D19" s="188"/>
      <c r="E19" s="16">
        <v>1.425</v>
      </c>
      <c r="F19" s="15">
        <v>1.2</v>
      </c>
      <c r="G19" s="196">
        <v>1.4</v>
      </c>
      <c r="H19" s="183"/>
      <c r="I19" s="14">
        <v>5.4807692307692307E-2</v>
      </c>
      <c r="J19" s="13">
        <v>4.6153846153846156E-2</v>
      </c>
      <c r="K19" s="197">
        <v>5.3846153846153849E-2</v>
      </c>
      <c r="L19" s="186"/>
    </row>
    <row r="20" spans="2:12" x14ac:dyDescent="0.3">
      <c r="B20" s="12">
        <v>2009</v>
      </c>
      <c r="C20" s="11">
        <v>2010</v>
      </c>
      <c r="D20" s="188"/>
      <c r="E20" s="181">
        <v>0.7</v>
      </c>
      <c r="F20" s="182"/>
      <c r="G20" s="182"/>
      <c r="H20" s="183"/>
      <c r="I20" s="184">
        <v>2.6923076923076925E-2</v>
      </c>
      <c r="J20" s="185"/>
      <c r="K20" s="185"/>
      <c r="L20" s="186"/>
    </row>
    <row r="21" spans="2:12" x14ac:dyDescent="0.3">
      <c r="B21" s="12">
        <v>2008</v>
      </c>
      <c r="C21" s="11">
        <v>2009</v>
      </c>
      <c r="D21" s="188"/>
      <c r="E21" s="181">
        <v>0.6</v>
      </c>
      <c r="F21" s="182"/>
      <c r="G21" s="182"/>
      <c r="H21" s="183"/>
      <c r="I21" s="184">
        <v>2.3076923076923078E-2</v>
      </c>
      <c r="J21" s="185"/>
      <c r="K21" s="185"/>
      <c r="L21" s="186"/>
    </row>
    <row r="22" spans="2:12" x14ac:dyDescent="0.3">
      <c r="B22" s="12">
        <v>2007</v>
      </c>
      <c r="C22" s="11">
        <v>2008</v>
      </c>
      <c r="D22" s="188"/>
      <c r="E22" s="181">
        <v>1.5</v>
      </c>
      <c r="F22" s="182"/>
      <c r="G22" s="182"/>
      <c r="H22" s="183"/>
      <c r="I22" s="184">
        <v>5.7692307692307696E-2</v>
      </c>
      <c r="J22" s="185"/>
      <c r="K22" s="185"/>
      <c r="L22" s="186"/>
    </row>
    <row r="23" spans="2:12" x14ac:dyDescent="0.3">
      <c r="B23" s="12">
        <v>2006</v>
      </c>
      <c r="C23" s="11">
        <v>2007</v>
      </c>
      <c r="D23" s="188"/>
      <c r="E23" s="181">
        <v>1.2</v>
      </c>
      <c r="F23" s="182"/>
      <c r="G23" s="182"/>
      <c r="H23" s="183"/>
      <c r="I23" s="184">
        <v>4.6153846153846156E-2</v>
      </c>
      <c r="J23" s="185"/>
      <c r="K23" s="185"/>
      <c r="L23" s="186"/>
    </row>
    <row r="24" spans="2:12" ht="15" thickBot="1" x14ac:dyDescent="0.35">
      <c r="B24" s="10">
        <v>2005</v>
      </c>
      <c r="C24" s="9">
        <v>2006</v>
      </c>
      <c r="D24" s="189"/>
      <c r="E24" s="174">
        <v>1.4</v>
      </c>
      <c r="F24" s="175"/>
      <c r="G24" s="175"/>
      <c r="H24" s="176"/>
      <c r="I24" s="177">
        <v>5.3846153846153849E-2</v>
      </c>
      <c r="J24" s="178"/>
      <c r="K24" s="178"/>
      <c r="L24" s="179"/>
    </row>
    <row r="25" spans="2:12" x14ac:dyDescent="0.3">
      <c r="B25" s="180" t="s">
        <v>328</v>
      </c>
      <c r="C25" s="180"/>
      <c r="D25" s="180"/>
      <c r="E25" s="180"/>
      <c r="F25" s="180"/>
      <c r="G25" s="180"/>
      <c r="H25" s="180"/>
      <c r="I25" s="180"/>
      <c r="J25" s="180"/>
      <c r="K25" s="180"/>
      <c r="L25" s="180"/>
    </row>
  </sheetData>
  <sheetProtection algorithmName="SHA-512" hashValue="roEZU6KBN+w689SsPv3qB6fWMQ/BStNrEk8J8CRC+VBrKntGs6sVzHqt2j/7wgc0sPCFckLooGlz1IUrBVViMA==" saltValue="jkEv7XavNGVHXFWrmIMDLg==" spinCount="100000" sheet="1" objects="1" scenarios="1" selectLockedCells="1" selectUnlockedCells="1"/>
  <mergeCells count="37">
    <mergeCell ref="E2:H2"/>
    <mergeCell ref="I2:L2"/>
    <mergeCell ref="D4:D9"/>
    <mergeCell ref="E4:H4"/>
    <mergeCell ref="I4:L4"/>
    <mergeCell ref="G19:H19"/>
    <mergeCell ref="K19:L19"/>
    <mergeCell ref="E20:H20"/>
    <mergeCell ref="I20:L20"/>
    <mergeCell ref="E12:H12"/>
    <mergeCell ref="I12:L12"/>
    <mergeCell ref="G13:H13"/>
    <mergeCell ref="K13:L13"/>
    <mergeCell ref="G14:H14"/>
    <mergeCell ref="K14:L14"/>
    <mergeCell ref="G15:H15"/>
    <mergeCell ref="K15:L15"/>
    <mergeCell ref="G16:H16"/>
    <mergeCell ref="K16:L16"/>
    <mergeCell ref="G17:H17"/>
    <mergeCell ref="K17:L17"/>
    <mergeCell ref="E24:H24"/>
    <mergeCell ref="I24:L24"/>
    <mergeCell ref="B25:L25"/>
    <mergeCell ref="E21:H21"/>
    <mergeCell ref="I21:L21"/>
    <mergeCell ref="E22:H22"/>
    <mergeCell ref="I22:L22"/>
    <mergeCell ref="E23:H23"/>
    <mergeCell ref="I23:L23"/>
    <mergeCell ref="D10:D24"/>
    <mergeCell ref="E10:H10"/>
    <mergeCell ref="I10:L10"/>
    <mergeCell ref="E11:H11"/>
    <mergeCell ref="I11:L11"/>
    <mergeCell ref="G18:H18"/>
    <mergeCell ref="K18:L18"/>
  </mergeCells>
  <conditionalFormatting sqref="E4:H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92DC-DE19-4E00-A852-4A885B4F56A9}">
  <dimension ref="B3:F39"/>
  <sheetViews>
    <sheetView topLeftCell="A2" workbookViewId="0">
      <selection activeCell="B31" sqref="B31:F39"/>
    </sheetView>
  </sheetViews>
  <sheetFormatPr defaultRowHeight="14.4" x14ac:dyDescent="0.3"/>
  <cols>
    <col min="2" max="2" width="7.33203125" bestFit="1" customWidth="1"/>
    <col min="3" max="3" width="11.5546875" customWidth="1"/>
    <col min="4" max="4" width="13.6640625" bestFit="1" customWidth="1"/>
    <col min="5" max="5" width="16.5546875" bestFit="1" customWidth="1"/>
    <col min="6" max="6" width="16.44140625" bestFit="1" customWidth="1"/>
    <col min="7" max="7" width="13.6640625" bestFit="1" customWidth="1"/>
  </cols>
  <sheetData>
    <row r="3" spans="2:4" x14ac:dyDescent="0.3">
      <c r="C3" t="s">
        <v>378</v>
      </c>
      <c r="D3" t="s">
        <v>376</v>
      </c>
    </row>
    <row r="4" spans="2:4" x14ac:dyDescent="0.3">
      <c r="B4" t="s">
        <v>364</v>
      </c>
      <c r="C4">
        <v>2437</v>
      </c>
      <c r="D4" s="5">
        <v>0</v>
      </c>
    </row>
    <row r="5" spans="2:4" x14ac:dyDescent="0.3">
      <c r="B5" t="s">
        <v>370</v>
      </c>
      <c r="C5">
        <v>4935</v>
      </c>
      <c r="D5" s="6">
        <v>40.39250253292802</v>
      </c>
    </row>
    <row r="6" spans="2:4" x14ac:dyDescent="0.3">
      <c r="B6" t="s">
        <v>371</v>
      </c>
      <c r="C6">
        <v>2295</v>
      </c>
      <c r="D6" s="6">
        <v>151.64418300653583</v>
      </c>
    </row>
    <row r="7" spans="2:4" x14ac:dyDescent="0.3">
      <c r="B7" t="s">
        <v>372</v>
      </c>
      <c r="C7">
        <v>1257</v>
      </c>
      <c r="D7" s="6">
        <v>254.79984089101032</v>
      </c>
    </row>
    <row r="8" spans="2:4" x14ac:dyDescent="0.3">
      <c r="B8" t="s">
        <v>373</v>
      </c>
      <c r="C8">
        <v>711</v>
      </c>
      <c r="D8" s="6">
        <v>358.5960618846695</v>
      </c>
    </row>
    <row r="9" spans="2:4" x14ac:dyDescent="0.3">
      <c r="B9" t="s">
        <v>374</v>
      </c>
      <c r="C9">
        <v>360</v>
      </c>
      <c r="D9" s="6">
        <v>463.11218836565075</v>
      </c>
    </row>
    <row r="10" spans="2:4" x14ac:dyDescent="0.3">
      <c r="B10" t="s">
        <v>375</v>
      </c>
      <c r="C10">
        <v>481</v>
      </c>
      <c r="D10" s="6">
        <v>739.48937499999988</v>
      </c>
    </row>
    <row r="11" spans="2:4" x14ac:dyDescent="0.3">
      <c r="C11">
        <f>SUM(C4:C10)</f>
        <v>12476</v>
      </c>
      <c r="D11" s="40">
        <f>SUMPRODUCT(D4:D10,C4:C10)/C11</f>
        <v>131.85479137436948</v>
      </c>
    </row>
    <row r="31" spans="2:6" x14ac:dyDescent="0.3">
      <c r="C31" t="s">
        <v>379</v>
      </c>
      <c r="D31" t="s">
        <v>380</v>
      </c>
      <c r="E31" t="s">
        <v>382</v>
      </c>
      <c r="F31" t="s">
        <v>381</v>
      </c>
    </row>
    <row r="32" spans="2:6" x14ac:dyDescent="0.3">
      <c r="B32" t="s">
        <v>364</v>
      </c>
      <c r="C32">
        <v>458</v>
      </c>
      <c r="D32">
        <v>1281</v>
      </c>
      <c r="E32" s="5">
        <v>0</v>
      </c>
    </row>
    <row r="33" spans="2:6" x14ac:dyDescent="0.3">
      <c r="B33" t="s">
        <v>370</v>
      </c>
      <c r="C33">
        <v>2043</v>
      </c>
      <c r="D33">
        <v>1431</v>
      </c>
      <c r="E33" s="6">
        <v>39.965736661771935</v>
      </c>
      <c r="F33">
        <v>103.86953455571219</v>
      </c>
    </row>
    <row r="34" spans="2:6" x14ac:dyDescent="0.3">
      <c r="B34" t="s">
        <v>371</v>
      </c>
      <c r="C34">
        <v>797</v>
      </c>
      <c r="D34">
        <v>442</v>
      </c>
      <c r="E34" s="6">
        <v>147.58092848180669</v>
      </c>
      <c r="F34">
        <v>130.13506787330326</v>
      </c>
    </row>
    <row r="35" spans="2:6" x14ac:dyDescent="0.3">
      <c r="B35" t="s">
        <v>372</v>
      </c>
      <c r="C35">
        <v>372</v>
      </c>
      <c r="D35">
        <v>295</v>
      </c>
      <c r="E35" s="6">
        <v>250.41532258064515</v>
      </c>
      <c r="F35">
        <v>152.42847457627116</v>
      </c>
    </row>
    <row r="36" spans="2:6" x14ac:dyDescent="0.3">
      <c r="B36" t="s">
        <v>373</v>
      </c>
      <c r="C36">
        <v>136</v>
      </c>
      <c r="D36">
        <v>136</v>
      </c>
      <c r="E36" s="6">
        <v>353.49191176470583</v>
      </c>
      <c r="F36">
        <v>173.48088235294125</v>
      </c>
    </row>
    <row r="37" spans="2:6" x14ac:dyDescent="0.3">
      <c r="B37" t="s">
        <v>374</v>
      </c>
      <c r="C37">
        <v>37</v>
      </c>
      <c r="D37">
        <v>99</v>
      </c>
      <c r="E37" s="6">
        <v>455.38918918918921</v>
      </c>
      <c r="F37">
        <v>206.2525252525252</v>
      </c>
    </row>
    <row r="38" spans="2:6" x14ac:dyDescent="0.3">
      <c r="B38" t="s">
        <v>375</v>
      </c>
      <c r="C38">
        <v>8</v>
      </c>
      <c r="D38">
        <v>167</v>
      </c>
      <c r="E38" s="6">
        <v>537.32500000000005</v>
      </c>
      <c r="F38">
        <v>201.66586826347304</v>
      </c>
    </row>
    <row r="39" spans="2:6" x14ac:dyDescent="0.3">
      <c r="C39">
        <f>SUM(C32:C38)</f>
        <v>3851</v>
      </c>
      <c r="D39">
        <f>SUM(D32:D38)</f>
        <v>3851</v>
      </c>
      <c r="E39" s="40">
        <f>SUMPRODUCT(E32:E38,C32:C38)/C39</f>
        <v>93.910516748896399</v>
      </c>
      <c r="F39" s="40">
        <f>SUMPRODUCT(F32:F38,D32:D38)/D39</f>
        <v>85.384057114833595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D6B7-CB4E-4BEF-98AC-5F441B8AF4C0}">
  <dimension ref="A1:J24"/>
  <sheetViews>
    <sheetView topLeftCell="B1" zoomScale="115" zoomScaleNormal="115" workbookViewId="0">
      <selection sqref="A1:A1048576"/>
    </sheetView>
  </sheetViews>
  <sheetFormatPr defaultRowHeight="14.4" x14ac:dyDescent="0.3"/>
  <cols>
    <col min="1" max="1" width="2.33203125" hidden="1" customWidth="1"/>
    <col min="2" max="2" width="2" customWidth="1"/>
    <col min="3" max="3" width="22.6640625" bestFit="1" customWidth="1"/>
    <col min="4" max="4" width="31.44140625" bestFit="1" customWidth="1"/>
    <col min="5" max="5" width="15.109375" bestFit="1" customWidth="1"/>
    <col min="6" max="6" width="10.6640625" bestFit="1" customWidth="1"/>
    <col min="7" max="10" width="9.33203125" bestFit="1" customWidth="1"/>
    <col min="11" max="11" width="15.5546875" bestFit="1" customWidth="1"/>
  </cols>
  <sheetData>
    <row r="1" spans="1:10" ht="21" x14ac:dyDescent="0.4">
      <c r="C1" s="206" t="s">
        <v>450</v>
      </c>
      <c r="D1" s="207"/>
      <c r="E1" s="207"/>
      <c r="F1" s="207"/>
      <c r="G1" s="207"/>
      <c r="H1" s="207"/>
      <c r="I1" s="207"/>
      <c r="J1" s="207"/>
    </row>
    <row r="2" spans="1:10" x14ac:dyDescent="0.3">
      <c r="C2" s="165" t="s">
        <v>297</v>
      </c>
      <c r="D2" s="165"/>
      <c r="E2" s="165"/>
      <c r="F2" s="165"/>
      <c r="G2" s="165"/>
      <c r="H2" s="165"/>
      <c r="I2" s="165"/>
      <c r="J2" s="165"/>
    </row>
    <row r="3" spans="1:10" ht="6" customHeight="1" x14ac:dyDescent="0.3">
      <c r="C3" s="2"/>
      <c r="D3" s="2"/>
      <c r="E3" s="2"/>
      <c r="F3" s="2"/>
      <c r="G3" s="2"/>
      <c r="H3" s="2"/>
      <c r="I3" s="2"/>
      <c r="J3" s="2"/>
    </row>
    <row r="4" spans="1:10" ht="15" thickBot="1" x14ac:dyDescent="0.35">
      <c r="D4" s="49"/>
      <c r="E4" s="75"/>
      <c r="G4" s="210" t="s">
        <v>451</v>
      </c>
      <c r="H4" s="210"/>
      <c r="I4" s="210"/>
      <c r="J4" s="210"/>
    </row>
    <row r="5" spans="1:10" x14ac:dyDescent="0.3">
      <c r="C5" s="165" t="s">
        <v>289</v>
      </c>
      <c r="D5" s="165"/>
      <c r="E5" s="76" t="str">
        <f>+'Inputs and Summary'!B4</f>
        <v>6H6P-4</v>
      </c>
      <c r="F5" s="77" t="s">
        <v>286</v>
      </c>
      <c r="G5" s="78" t="s">
        <v>282</v>
      </c>
      <c r="H5" s="78" t="s">
        <v>283</v>
      </c>
      <c r="I5" s="78" t="s">
        <v>284</v>
      </c>
      <c r="J5" s="78" t="s">
        <v>285</v>
      </c>
    </row>
    <row r="6" spans="1:10" ht="15" thickBot="1" x14ac:dyDescent="0.35">
      <c r="C6" s="165" t="s">
        <v>288</v>
      </c>
      <c r="D6" s="165"/>
      <c r="E6" s="79">
        <f>+'Inputs and Summary'!B3</f>
        <v>153250</v>
      </c>
      <c r="F6" s="80">
        <f>+E6*(1+'Inputs and Summary'!B20)</f>
        <v>157847.5</v>
      </c>
      <c r="G6" s="81">
        <f>+F6*(1+'Inputs and Summary'!D20)</f>
        <v>168896.82500000001</v>
      </c>
      <c r="H6" s="81">
        <f>+G6*(1+'Inputs and Summary'!E20)</f>
        <v>178186.150375</v>
      </c>
      <c r="I6" s="81">
        <f>+H6*(1+'Inputs and Summary'!F20)</f>
        <v>187986.38864562497</v>
      </c>
      <c r="J6" s="81">
        <f>+I6*(1+'Inputs and Summary'!G20)</f>
        <v>198325.64002113434</v>
      </c>
    </row>
    <row r="7" spans="1:10" ht="15" thickBot="1" x14ac:dyDescent="0.35">
      <c r="C7" s="2"/>
      <c r="D7" s="2"/>
      <c r="E7" s="82"/>
      <c r="F7" s="82"/>
      <c r="G7" s="82"/>
      <c r="H7" s="82"/>
      <c r="I7" s="82"/>
      <c r="J7" s="82"/>
    </row>
    <row r="8" spans="1:10" x14ac:dyDescent="0.3">
      <c r="A8">
        <v>4</v>
      </c>
      <c r="C8" s="208" t="s">
        <v>290</v>
      </c>
      <c r="D8" s="83" t="s">
        <v>306</v>
      </c>
      <c r="E8" s="84">
        <f>VLOOKUP($E$5,'SJC data'!$B$3:$I$276,$A8,FALSE)</f>
        <v>148414</v>
      </c>
      <c r="F8" s="85">
        <f>+E8*(1+'Inputs and Summary'!J$3)</f>
        <v>152866.42000000001</v>
      </c>
      <c r="G8" s="86">
        <f>+F8*(1+'Inputs and Summary'!J$4)</f>
        <v>163567.06940000004</v>
      </c>
      <c r="H8" s="86">
        <f>+G8*(1+'Inputs and Summary'!J$5)</f>
        <v>172563.25821700002</v>
      </c>
      <c r="I8" s="86">
        <f>+H8*(1+'Inputs and Summary'!J$6)</f>
        <v>182054.23741893502</v>
      </c>
      <c r="J8" s="87">
        <f>+I8*(1+'Inputs and Summary'!J$7)</f>
        <v>192067.22047697645</v>
      </c>
    </row>
    <row r="9" spans="1:10" x14ac:dyDescent="0.3">
      <c r="A9">
        <v>5</v>
      </c>
      <c r="C9" s="209"/>
      <c r="D9" s="88" t="s">
        <v>307</v>
      </c>
      <c r="E9" s="89">
        <f>VLOOKUP($E$5,'SJC data'!$B$3:$I$276,$A9,FALSE)</f>
        <v>152282.5</v>
      </c>
      <c r="F9" s="90">
        <f>+E9*(1+'Inputs and Summary'!J$3)</f>
        <v>156850.97500000001</v>
      </c>
      <c r="G9" s="91">
        <f>+F9*(1+'Inputs and Summary'!J$4)</f>
        <v>167830.54325000002</v>
      </c>
      <c r="H9" s="91">
        <f>+G9*(1+'Inputs and Summary'!J$5)</f>
        <v>177061.22312875002</v>
      </c>
      <c r="I9" s="91">
        <f>+H9*(1+'Inputs and Summary'!J$6)</f>
        <v>186799.59040083125</v>
      </c>
      <c r="J9" s="92">
        <f>+I9*(1+'Inputs and Summary'!J$7)</f>
        <v>197073.56787287697</v>
      </c>
    </row>
    <row r="10" spans="1:10" x14ac:dyDescent="0.3">
      <c r="A10">
        <v>6</v>
      </c>
      <c r="C10" s="209"/>
      <c r="D10" s="88" t="s">
        <v>308</v>
      </c>
      <c r="E10" s="89">
        <f>VLOOKUP($E$5,'SJC data'!$B$3:$I$276,$A10,FALSE)</f>
        <v>158230</v>
      </c>
      <c r="F10" s="90">
        <f>+E10*(1+'Inputs and Summary'!J$3)</f>
        <v>162976.9</v>
      </c>
      <c r="G10" s="91">
        <f>+F10*(1+'Inputs and Summary'!J$4)</f>
        <v>174385.283</v>
      </c>
      <c r="H10" s="91">
        <f>+G10*(1+'Inputs and Summary'!J$5)</f>
        <v>183976.47356499999</v>
      </c>
      <c r="I10" s="91">
        <f>+H10*(1+'Inputs and Summary'!J$6)</f>
        <v>194095.17961107497</v>
      </c>
      <c r="J10" s="92">
        <f>+I10*(1+'Inputs and Summary'!J$7)</f>
        <v>204770.41448968407</v>
      </c>
    </row>
    <row r="11" spans="1:10" x14ac:dyDescent="0.3">
      <c r="A11">
        <v>7</v>
      </c>
      <c r="C11" s="93" t="s">
        <v>294</v>
      </c>
      <c r="D11" s="88" t="s">
        <v>309</v>
      </c>
      <c r="E11" s="89">
        <f>VLOOKUP($E$5,'SJC data'!$B$3:$I$276,$A11,FALSE)</f>
        <v>165730.25</v>
      </c>
      <c r="F11" s="90">
        <f>+E11*(1+'Inputs and Summary'!J$3)</f>
        <v>170702.1575</v>
      </c>
      <c r="G11" s="91">
        <f>+F11*(1+'Inputs and Summary'!J$4)</f>
        <v>182651.308525</v>
      </c>
      <c r="H11" s="91">
        <f>+G11*(1+'Inputs and Summary'!J$5)</f>
        <v>192697.13049387498</v>
      </c>
      <c r="I11" s="91">
        <f>+H11*(1+'Inputs and Summary'!J$6)</f>
        <v>203295.47267103809</v>
      </c>
      <c r="J11" s="92">
        <f>+I11*(1+'Inputs and Summary'!J$7)</f>
        <v>214476.72366794519</v>
      </c>
    </row>
    <row r="12" spans="1:10" ht="15" thickBot="1" x14ac:dyDescent="0.35">
      <c r="A12">
        <v>8</v>
      </c>
      <c r="C12" s="94">
        <f>VLOOKUP(E5,'SJC data'!$B$3:$D$276,3,FALSE)</f>
        <v>186</v>
      </c>
      <c r="D12" s="95" t="s">
        <v>310</v>
      </c>
      <c r="E12" s="96">
        <f>VLOOKUP($E$5,'SJC data'!$B$3:$I$276,$A12,FALSE)</f>
        <v>180451</v>
      </c>
      <c r="F12" s="97">
        <f>+E12*(1+'Inputs and Summary'!J$3)</f>
        <v>185864.53</v>
      </c>
      <c r="G12" s="98">
        <f>+F12*(1+'Inputs and Summary'!J$4)</f>
        <v>198875.0471</v>
      </c>
      <c r="H12" s="98">
        <f>+G12*(1+'Inputs and Summary'!J$5)</f>
        <v>209813.17469049999</v>
      </c>
      <c r="I12" s="98">
        <f>+H12*(1+'Inputs and Summary'!J$6)</f>
        <v>221352.89929847748</v>
      </c>
      <c r="J12" s="99">
        <f>+I12*(1+'Inputs and Summary'!J$7)</f>
        <v>233527.30875989373</v>
      </c>
    </row>
    <row r="14" spans="1:10" ht="15" thickBot="1" x14ac:dyDescent="0.35">
      <c r="E14" t="s">
        <v>304</v>
      </c>
      <c r="F14" s="2" t="s">
        <v>286</v>
      </c>
      <c r="G14" s="2" t="s">
        <v>282</v>
      </c>
      <c r="H14" s="2" t="s">
        <v>283</v>
      </c>
      <c r="I14" s="2" t="s">
        <v>284</v>
      </c>
      <c r="J14" s="2" t="s">
        <v>285</v>
      </c>
    </row>
    <row r="15" spans="1:10" ht="15" thickBot="1" x14ac:dyDescent="0.35">
      <c r="D15" s="100" t="s">
        <v>296</v>
      </c>
      <c r="E15" s="101">
        <v>152589.82419008398</v>
      </c>
      <c r="F15" s="101">
        <f>+E15*(1+'Inputs and Summary'!B20)</f>
        <v>157167.5189157865</v>
      </c>
      <c r="G15" s="101">
        <f>+F15*(1+'Inputs and Summary'!D20)</f>
        <v>168169.24523989155</v>
      </c>
      <c r="H15" s="101">
        <f>+G15*(1+'Inputs and Summary'!E20)</f>
        <v>177418.55372808556</v>
      </c>
      <c r="I15" s="101">
        <f>+H15*(1+'Inputs and Summary'!F20)</f>
        <v>187176.57418313026</v>
      </c>
      <c r="J15" s="61">
        <f>+I15*(1+'Inputs and Summary'!G20)</f>
        <v>197471.28576320241</v>
      </c>
    </row>
    <row r="16" spans="1:10" x14ac:dyDescent="0.3">
      <c r="D16" s="102" t="s">
        <v>298</v>
      </c>
      <c r="E16" s="53">
        <v>121291.67982824426</v>
      </c>
      <c r="F16" s="53">
        <f>+E16*(1+'Inputs and Summary'!J$3)</f>
        <v>124930.43022309159</v>
      </c>
      <c r="G16" s="53">
        <f>+F16*(1+'Inputs and Summary'!J$4)</f>
        <v>133675.56033870802</v>
      </c>
      <c r="H16" s="53">
        <f>+G16*(1+'Inputs and Summary'!J$5)</f>
        <v>141027.71615733695</v>
      </c>
      <c r="I16" s="53">
        <f>+H16*(1+'Inputs and Summary'!J$6)</f>
        <v>148784.24054599047</v>
      </c>
      <c r="J16" s="103">
        <f>+I16*(1+'Inputs and Summary'!J$7)</f>
        <v>156967.37377601993</v>
      </c>
    </row>
    <row r="17" spans="3:10" x14ac:dyDescent="0.3">
      <c r="D17" s="104" t="s">
        <v>299</v>
      </c>
      <c r="E17" s="82">
        <v>171186.53955901426</v>
      </c>
      <c r="F17" s="82">
        <f>+E17*(1+'Inputs and Summary'!J$3)</f>
        <v>176322.1357457847</v>
      </c>
      <c r="G17" s="82">
        <f>+F17*(1+'Inputs and Summary'!J$4)</f>
        <v>188664.68524798963</v>
      </c>
      <c r="H17" s="82">
        <f>+G17*(1+'Inputs and Summary'!J$5)</f>
        <v>199041.24293662905</v>
      </c>
      <c r="I17" s="82">
        <f>+H17*(1+'Inputs and Summary'!J$6)</f>
        <v>209988.51129814363</v>
      </c>
      <c r="J17" s="105">
        <f>+I17*(1+'Inputs and Summary'!J$7)</f>
        <v>221537.87941954151</v>
      </c>
    </row>
    <row r="18" spans="3:10" ht="15" thickBot="1" x14ac:dyDescent="0.35">
      <c r="D18" s="106" t="s">
        <v>300</v>
      </c>
      <c r="E18" s="107">
        <v>199523.05687830687</v>
      </c>
      <c r="F18" s="107">
        <f>+E18*(1+'Inputs and Summary'!J$3)</f>
        <v>205508.74858465607</v>
      </c>
      <c r="G18" s="107">
        <f>+F18*(1+'Inputs and Summary'!J$4)</f>
        <v>219894.36098558203</v>
      </c>
      <c r="H18" s="107">
        <f>+G18*(1+'Inputs and Summary'!J$5)</f>
        <v>231988.55083978904</v>
      </c>
      <c r="I18" s="107">
        <f>+H18*(1+'Inputs and Summary'!J$6)</f>
        <v>244747.92113597741</v>
      </c>
      <c r="J18" s="108">
        <f>+I18*(1+'Inputs and Summary'!J$7)</f>
        <v>258209.05679845615</v>
      </c>
    </row>
    <row r="19" spans="3:10" x14ac:dyDescent="0.3">
      <c r="D19" s="49"/>
      <c r="E19" s="82"/>
      <c r="F19" s="82"/>
      <c r="G19" s="82"/>
      <c r="H19" s="82"/>
      <c r="I19" s="82"/>
      <c r="J19" s="82"/>
    </row>
    <row r="20" spans="3:10" ht="15" thickBot="1" x14ac:dyDescent="0.35">
      <c r="E20" t="s">
        <v>304</v>
      </c>
      <c r="F20" s="2" t="s">
        <v>286</v>
      </c>
      <c r="G20" s="2" t="s">
        <v>282</v>
      </c>
      <c r="H20" s="2" t="s">
        <v>283</v>
      </c>
      <c r="I20" s="2" t="s">
        <v>284</v>
      </c>
      <c r="J20" s="2" t="s">
        <v>285</v>
      </c>
    </row>
    <row r="21" spans="3:10" ht="15" thickBot="1" x14ac:dyDescent="0.35">
      <c r="C21" s="109"/>
      <c r="D21" s="100" t="s">
        <v>295</v>
      </c>
      <c r="E21" s="101">
        <v>116550.2812112112</v>
      </c>
      <c r="F21" s="101">
        <f>+E21*(1+'Inputs and Summary'!J$3)</f>
        <v>120046.78964754754</v>
      </c>
      <c r="G21" s="101">
        <f>+F21*(1+'Inputs and Summary'!J$4)</f>
        <v>128450.06492287588</v>
      </c>
      <c r="H21" s="101">
        <f>+G21*(1+'Inputs and Summary'!J$5)</f>
        <v>135514.81849363405</v>
      </c>
      <c r="I21" s="101">
        <f>+H21*(1+'Inputs and Summary'!J$6)</f>
        <v>142968.13351078393</v>
      </c>
      <c r="J21" s="61">
        <f>+I21*(1+'Inputs and Summary'!J$7)</f>
        <v>150831.38085387702</v>
      </c>
    </row>
    <row r="22" spans="3:10" x14ac:dyDescent="0.3">
      <c r="D22" s="104" t="s">
        <v>301</v>
      </c>
      <c r="E22" s="82">
        <v>93522.169940119769</v>
      </c>
      <c r="F22" s="82">
        <f>+E22*(1+'Inputs and Summary'!J$3)</f>
        <v>96327.835038323363</v>
      </c>
      <c r="G22" s="82">
        <f>+F22*(1+'Inputs and Summary'!J$4)</f>
        <v>103070.783491006</v>
      </c>
      <c r="H22" s="82">
        <f>+G22*(1+'Inputs and Summary'!J$5)</f>
        <v>108739.67658301133</v>
      </c>
      <c r="I22" s="82">
        <f>+H22*(1+'Inputs and Summary'!J$6)</f>
        <v>114720.35879507694</v>
      </c>
      <c r="J22" s="105">
        <f>+I22*(1+'Inputs and Summary'!J$7)</f>
        <v>121029.97852880617</v>
      </c>
    </row>
    <row r="23" spans="3:10" x14ac:dyDescent="0.3">
      <c r="D23" s="104" t="s">
        <v>302</v>
      </c>
      <c r="E23" s="82">
        <v>127225.58346420323</v>
      </c>
      <c r="F23" s="82">
        <f>+E23*(1+'Inputs and Summary'!J$3)</f>
        <v>131042.35096812932</v>
      </c>
      <c r="G23" s="82">
        <f>+F23*(1+'Inputs and Summary'!J$4)</f>
        <v>140215.31553589838</v>
      </c>
      <c r="H23" s="82">
        <f>+G23*(1+'Inputs and Summary'!J$5)</f>
        <v>147927.15789037279</v>
      </c>
      <c r="I23" s="82">
        <f>+H23*(1+'Inputs and Summary'!J$6)</f>
        <v>156063.1515743433</v>
      </c>
      <c r="J23" s="105">
        <f>+I23*(1+'Inputs and Summary'!J$7)</f>
        <v>164646.62491093218</v>
      </c>
    </row>
    <row r="24" spans="3:10" ht="15" thickBot="1" x14ac:dyDescent="0.35">
      <c r="D24" s="106" t="s">
        <v>303</v>
      </c>
      <c r="E24" s="107">
        <v>138643.33495145632</v>
      </c>
      <c r="F24" s="107">
        <f>+E24*(1+'Inputs and Summary'!J$3)</f>
        <v>142802.63500000001</v>
      </c>
      <c r="G24" s="107">
        <f>+F24*(1+'Inputs and Summary'!J$4)</f>
        <v>152798.81945000001</v>
      </c>
      <c r="H24" s="107">
        <f>+G24*(1+'Inputs and Summary'!J$5)</f>
        <v>161202.75451975001</v>
      </c>
      <c r="I24" s="107">
        <f>+H24*(1+'Inputs and Summary'!J$6)</f>
        <v>170068.90601833625</v>
      </c>
      <c r="J24" s="108">
        <f>+I24*(1+'Inputs and Summary'!J$7)</f>
        <v>179422.69584934472</v>
      </c>
    </row>
  </sheetData>
  <sheetProtection algorithmName="SHA-512" hashValue="H84gbjb0kvAoRNAHov2V7rs1VXLcLZo1asT5+wRtVXjVlvdZDCK4vAAUzwExUIrCPS1XojAKYOkh1Z0SbF1lGg==" saltValue="aN+J/jkH04kevk50Q0SDtw==" spinCount="100000" sheet="1" selectLockedCells="1" selectUnlockedCells="1"/>
  <mergeCells count="6">
    <mergeCell ref="C1:J1"/>
    <mergeCell ref="C2:J2"/>
    <mergeCell ref="C6:D6"/>
    <mergeCell ref="C5:D5"/>
    <mergeCell ref="C8:C10"/>
    <mergeCell ref="G4:J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D6A19A-7273-435E-B559-84CF077FE102}">
          <x14:formula1>
            <xm:f>'SJC data'!$B$3:$B$276</xm:f>
          </x14:formula1>
          <xm:sqref>E5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3B6A-482C-4B27-B563-272DF1B7F39E}">
  <dimension ref="A1:J68"/>
  <sheetViews>
    <sheetView topLeftCell="A20" zoomScale="145" zoomScaleNormal="145" workbookViewId="0">
      <selection activeCell="F64" sqref="F64"/>
    </sheetView>
  </sheetViews>
  <sheetFormatPr defaultColWidth="9.33203125" defaultRowHeight="14.4" x14ac:dyDescent="0.3"/>
  <cols>
    <col min="1" max="1" width="6.33203125" bestFit="1" customWidth="1"/>
    <col min="2" max="2" width="18.109375" customWidth="1"/>
    <col min="3" max="3" width="15.109375" bestFit="1" customWidth="1"/>
    <col min="4" max="4" width="16.33203125" bestFit="1" customWidth="1"/>
    <col min="5" max="5" width="26.109375" bestFit="1" customWidth="1"/>
    <col min="6" max="6" width="14.33203125" bestFit="1" customWidth="1"/>
    <col min="8" max="8" width="16.5546875" bestFit="1" customWidth="1"/>
    <col min="9" max="9" width="16.44140625" bestFit="1" customWidth="1"/>
    <col min="10" max="10" width="9.6640625" bestFit="1" customWidth="1"/>
    <col min="11" max="11" width="19.44140625" bestFit="1" customWidth="1"/>
  </cols>
  <sheetData>
    <row r="1" spans="1:4" ht="28.8" x14ac:dyDescent="0.3">
      <c r="A1" t="s">
        <v>351</v>
      </c>
      <c r="B1" s="35" t="s">
        <v>348</v>
      </c>
      <c r="C1" t="s">
        <v>342</v>
      </c>
      <c r="D1" s="34">
        <v>9.5238095238095233E-2</v>
      </c>
    </row>
    <row r="2" spans="1:4" x14ac:dyDescent="0.3">
      <c r="B2" s="211" t="s">
        <v>350</v>
      </c>
      <c r="C2" t="s">
        <v>343</v>
      </c>
      <c r="D2" s="34">
        <v>0.19047619047619047</v>
      </c>
    </row>
    <row r="3" spans="1:4" x14ac:dyDescent="0.3">
      <c r="B3" s="211"/>
      <c r="C3" t="s">
        <v>344</v>
      </c>
      <c r="D3" s="34">
        <v>9.5238095238095233E-2</v>
      </c>
    </row>
    <row r="4" spans="1:4" x14ac:dyDescent="0.3">
      <c r="B4" s="211"/>
      <c r="C4" t="s">
        <v>347</v>
      </c>
      <c r="D4" s="34">
        <v>0.19047619047619047</v>
      </c>
    </row>
    <row r="5" spans="1:4" x14ac:dyDescent="0.3">
      <c r="B5" s="211"/>
      <c r="C5" t="s">
        <v>345</v>
      </c>
      <c r="D5" s="34">
        <v>0.2857142857142857</v>
      </c>
    </row>
    <row r="6" spans="1:4" ht="28.8" x14ac:dyDescent="0.3">
      <c r="B6" s="35" t="s">
        <v>349</v>
      </c>
      <c r="C6" t="s">
        <v>346</v>
      </c>
      <c r="D6" s="34">
        <v>0.14285714285714285</v>
      </c>
    </row>
    <row r="10" spans="1:4" x14ac:dyDescent="0.3">
      <c r="A10" t="s">
        <v>352</v>
      </c>
      <c r="D10" s="2" t="s">
        <v>325</v>
      </c>
    </row>
    <row r="11" spans="1:4" x14ac:dyDescent="0.3">
      <c r="B11" s="212" t="s">
        <v>324</v>
      </c>
      <c r="C11" s="36" t="s">
        <v>311</v>
      </c>
      <c r="D11" s="4">
        <v>1.9607843137254902E-2</v>
      </c>
    </row>
    <row r="12" spans="1:4" x14ac:dyDescent="0.3">
      <c r="B12" s="213"/>
      <c r="C12" s="36" t="s">
        <v>312</v>
      </c>
      <c r="D12" s="4">
        <v>1.9607843137254902E-2</v>
      </c>
    </row>
    <row r="13" spans="1:4" x14ac:dyDescent="0.3">
      <c r="B13" s="213"/>
      <c r="C13" s="36" t="s">
        <v>313</v>
      </c>
      <c r="D13" s="4">
        <v>1.9607843137254902E-2</v>
      </c>
    </row>
    <row r="14" spans="1:4" x14ac:dyDescent="0.3">
      <c r="B14" s="213"/>
      <c r="C14" s="36" t="s">
        <v>314</v>
      </c>
      <c r="D14" s="4">
        <v>0.17647058823529413</v>
      </c>
    </row>
    <row r="15" spans="1:4" x14ac:dyDescent="0.3">
      <c r="B15" s="212" t="s">
        <v>354</v>
      </c>
      <c r="C15" s="36" t="s">
        <v>315</v>
      </c>
      <c r="D15" s="4">
        <v>0.29411764705882354</v>
      </c>
    </row>
    <row r="16" spans="1:4" x14ac:dyDescent="0.3">
      <c r="B16" s="212"/>
      <c r="C16" s="36" t="s">
        <v>316</v>
      </c>
      <c r="D16" s="4">
        <v>0.13725490196078433</v>
      </c>
    </row>
    <row r="17" spans="2:5" x14ac:dyDescent="0.3">
      <c r="B17" s="212"/>
      <c r="C17" s="2" t="s">
        <v>317</v>
      </c>
      <c r="D17" s="4">
        <v>9.8039215686274508E-2</v>
      </c>
    </row>
    <row r="18" spans="2:5" x14ac:dyDescent="0.3">
      <c r="B18" s="212"/>
      <c r="C18" s="36" t="s">
        <v>318</v>
      </c>
      <c r="D18" s="4">
        <v>9.8039215686274508E-2</v>
      </c>
    </row>
    <row r="19" spans="2:5" x14ac:dyDescent="0.3">
      <c r="B19" s="212" t="s">
        <v>353</v>
      </c>
      <c r="C19" s="36" t="s">
        <v>319</v>
      </c>
      <c r="D19" s="4">
        <v>1.9607843137254902E-2</v>
      </c>
    </row>
    <row r="20" spans="2:5" x14ac:dyDescent="0.3">
      <c r="B20" s="212"/>
      <c r="C20" s="36" t="s">
        <v>320</v>
      </c>
      <c r="D20" s="4">
        <v>1.9607843137254902E-2</v>
      </c>
    </row>
    <row r="21" spans="2:5" x14ac:dyDescent="0.3">
      <c r="B21" s="212"/>
      <c r="C21" s="36" t="s">
        <v>321</v>
      </c>
      <c r="D21" s="4">
        <v>3.9215686274509803E-2</v>
      </c>
    </row>
    <row r="22" spans="2:5" x14ac:dyDescent="0.3">
      <c r="B22" s="212"/>
      <c r="C22" s="36" t="s">
        <v>322</v>
      </c>
      <c r="D22" s="4">
        <v>1.9607843137254902E-2</v>
      </c>
    </row>
    <row r="23" spans="2:5" x14ac:dyDescent="0.3">
      <c r="B23" s="212"/>
      <c r="C23" s="2" t="s">
        <v>323</v>
      </c>
      <c r="D23" s="4">
        <v>3.9215686274509803E-2</v>
      </c>
    </row>
    <row r="25" spans="2:5" x14ac:dyDescent="0.3">
      <c r="C25" s="2" t="s">
        <v>351</v>
      </c>
      <c r="D25" s="2" t="s">
        <v>352</v>
      </c>
      <c r="E25" t="s">
        <v>387</v>
      </c>
    </row>
    <row r="26" spans="2:5" x14ac:dyDescent="0.3">
      <c r="B26" t="s">
        <v>364</v>
      </c>
    </row>
    <row r="27" spans="2:5" x14ac:dyDescent="0.3">
      <c r="B27" t="s">
        <v>357</v>
      </c>
      <c r="C27" s="3">
        <v>0.5</v>
      </c>
      <c r="D27" s="3">
        <v>0.02</v>
      </c>
      <c r="E27" s="37">
        <v>0.5</v>
      </c>
    </row>
    <row r="28" spans="2:5" x14ac:dyDescent="0.3">
      <c r="B28" t="s">
        <v>355</v>
      </c>
      <c r="C28" s="3">
        <v>1</v>
      </c>
      <c r="D28" s="3">
        <v>2.5999999999999999E-2</v>
      </c>
      <c r="E28" s="37">
        <v>1</v>
      </c>
    </row>
    <row r="29" spans="2:5" x14ac:dyDescent="0.3">
      <c r="B29" t="s">
        <v>356</v>
      </c>
      <c r="C29" s="3">
        <v>1.5</v>
      </c>
      <c r="D29" s="3">
        <v>0.03</v>
      </c>
      <c r="E29" s="37">
        <v>1.3</v>
      </c>
    </row>
    <row r="31" spans="2:5" x14ac:dyDescent="0.3">
      <c r="B31" t="s">
        <v>361</v>
      </c>
      <c r="C31" s="43">
        <v>0.03</v>
      </c>
      <c r="D31" s="3">
        <v>0.03</v>
      </c>
    </row>
    <row r="32" spans="2:5" x14ac:dyDescent="0.3">
      <c r="B32" t="s">
        <v>360</v>
      </c>
      <c r="C32" s="43">
        <v>0.02</v>
      </c>
      <c r="D32" s="3">
        <v>2.5000000000000001E-2</v>
      </c>
    </row>
    <row r="35" spans="1:10" x14ac:dyDescent="0.3">
      <c r="A35" t="s">
        <v>377</v>
      </c>
      <c r="C35" t="s">
        <v>359</v>
      </c>
      <c r="D35" t="s">
        <v>417</v>
      </c>
      <c r="E35" t="s">
        <v>418</v>
      </c>
    </row>
    <row r="36" spans="1:10" x14ac:dyDescent="0.3">
      <c r="B36" t="s">
        <v>364</v>
      </c>
      <c r="C36">
        <v>2437</v>
      </c>
      <c r="D36" s="5">
        <v>0</v>
      </c>
      <c r="H36" s="6"/>
      <c r="I36" s="6"/>
      <c r="J36" s="41"/>
    </row>
    <row r="37" spans="1:10" x14ac:dyDescent="0.3">
      <c r="B37" t="s">
        <v>370</v>
      </c>
      <c r="C37">
        <v>4935</v>
      </c>
      <c r="D37" s="6">
        <v>40.39250253292802</v>
      </c>
      <c r="E37">
        <v>35.241933287950978</v>
      </c>
      <c r="H37" s="6"/>
      <c r="I37" s="6"/>
      <c r="J37" s="41"/>
    </row>
    <row r="38" spans="1:10" x14ac:dyDescent="0.3">
      <c r="B38" t="s">
        <v>371</v>
      </c>
      <c r="C38">
        <v>2295</v>
      </c>
      <c r="D38" s="6">
        <v>151.64418300653583</v>
      </c>
      <c r="E38">
        <v>150.39553571428573</v>
      </c>
      <c r="H38" s="6"/>
      <c r="I38" s="6"/>
      <c r="J38" s="41"/>
    </row>
    <row r="39" spans="1:10" x14ac:dyDescent="0.3">
      <c r="B39" t="s">
        <v>372</v>
      </c>
      <c r="C39">
        <v>1257</v>
      </c>
      <c r="D39" s="6">
        <v>254.79984089101032</v>
      </c>
      <c r="E39">
        <v>256.50673913043482</v>
      </c>
      <c r="H39" s="6"/>
      <c r="I39" s="6"/>
      <c r="J39" s="41"/>
    </row>
    <row r="40" spans="1:10" x14ac:dyDescent="0.3">
      <c r="B40" t="s">
        <v>373</v>
      </c>
      <c r="C40">
        <v>711</v>
      </c>
      <c r="D40" s="6">
        <v>358.5960618846695</v>
      </c>
      <c r="E40">
        <v>359.93650793650806</v>
      </c>
      <c r="H40" s="6"/>
      <c r="I40" s="6"/>
      <c r="J40" s="41"/>
    </row>
    <row r="41" spans="1:10" x14ac:dyDescent="0.3">
      <c r="B41" t="s">
        <v>374</v>
      </c>
      <c r="C41">
        <v>360</v>
      </c>
      <c r="D41" s="6">
        <v>463.11218836565075</v>
      </c>
      <c r="E41">
        <v>464.49950248756215</v>
      </c>
      <c r="H41" s="6"/>
      <c r="I41" s="6"/>
      <c r="J41" s="41"/>
    </row>
    <row r="42" spans="1:10" x14ac:dyDescent="0.3">
      <c r="B42" t="s">
        <v>375</v>
      </c>
      <c r="C42">
        <v>481</v>
      </c>
      <c r="D42" s="6">
        <v>739.48937499999988</v>
      </c>
      <c r="E42">
        <v>768.38967254408044</v>
      </c>
      <c r="H42" s="6"/>
      <c r="I42" s="6"/>
      <c r="J42" s="41"/>
    </row>
    <row r="47" spans="1:10" x14ac:dyDescent="0.3">
      <c r="B47">
        <v>0</v>
      </c>
      <c r="C47" t="s">
        <v>405</v>
      </c>
    </row>
    <row r="48" spans="1:10" x14ac:dyDescent="0.3">
      <c r="B48">
        <v>0.85</v>
      </c>
      <c r="C48" t="s">
        <v>410</v>
      </c>
    </row>
    <row r="49" spans="2:6" x14ac:dyDescent="0.3">
      <c r="B49">
        <v>0.9</v>
      </c>
      <c r="C49" t="s">
        <v>409</v>
      </c>
    </row>
    <row r="50" spans="2:6" x14ac:dyDescent="0.3">
      <c r="B50">
        <v>1.1000000000000001</v>
      </c>
      <c r="C50" t="s">
        <v>409</v>
      </c>
    </row>
    <row r="51" spans="2:6" x14ac:dyDescent="0.3">
      <c r="B51">
        <v>1.1499999999999999</v>
      </c>
      <c r="C51" t="s">
        <v>406</v>
      </c>
    </row>
    <row r="52" spans="2:6" x14ac:dyDescent="0.3">
      <c r="B52">
        <v>1.25</v>
      </c>
      <c r="C52" t="s">
        <v>407</v>
      </c>
    </row>
    <row r="55" spans="2:6" x14ac:dyDescent="0.3">
      <c r="B55" s="2" t="s">
        <v>441</v>
      </c>
      <c r="C55" s="2" t="s">
        <v>443</v>
      </c>
      <c r="D55" s="2" t="s">
        <v>442</v>
      </c>
    </row>
    <row r="56" spans="2:6" x14ac:dyDescent="0.3">
      <c r="B56" s="2">
        <v>0</v>
      </c>
      <c r="C56" s="43">
        <v>0.03</v>
      </c>
      <c r="D56" s="43">
        <v>0.04</v>
      </c>
    </row>
    <row r="57" spans="2:6" x14ac:dyDescent="0.3">
      <c r="B57" s="2">
        <v>40</v>
      </c>
      <c r="C57" s="43">
        <v>0.04</v>
      </c>
      <c r="D57" s="43">
        <v>0.04</v>
      </c>
    </row>
    <row r="58" spans="2:6" x14ac:dyDescent="0.3">
      <c r="B58" s="2">
        <v>50</v>
      </c>
      <c r="C58" s="43">
        <v>0.05</v>
      </c>
      <c r="D58" s="43">
        <v>0.05</v>
      </c>
    </row>
    <row r="61" spans="2:6" ht="15" thickBot="1" x14ac:dyDescent="0.35">
      <c r="C61" s="8" t="s">
        <v>438</v>
      </c>
      <c r="D61" s="8" t="s">
        <v>377</v>
      </c>
      <c r="E61" s="8" t="s">
        <v>440</v>
      </c>
      <c r="F61" s="8" t="s">
        <v>439</v>
      </c>
    </row>
    <row r="62" spans="2:6" x14ac:dyDescent="0.3">
      <c r="B62" s="44">
        <v>45323</v>
      </c>
      <c r="C62" s="46">
        <f>C63-C63*VLOOKUP('Inputs and Summary'!B5,$B$31:$D$32,3,FALSE)</f>
        <v>144192.92499999999</v>
      </c>
      <c r="D62" s="46">
        <f>C62/2080*'Inputs and Summary'!$C$6</f>
        <v>17663.622282504508</v>
      </c>
      <c r="E62" s="39">
        <f t="shared" ref="E62:E67" si="0">D62+C62</f>
        <v>161856.5472825045</v>
      </c>
    </row>
    <row r="63" spans="2:6" x14ac:dyDescent="0.3">
      <c r="B63" s="44">
        <v>45689</v>
      </c>
      <c r="C63" s="46">
        <f>'Inputs and Summary'!B3-'Inputs and Summary'!B3*VLOOKUP('Inputs and Summary'!B5,$B$31:$D$32,3, FALSE)</f>
        <v>148652.5</v>
      </c>
      <c r="D63" s="46">
        <f>C63/2080*'Inputs and Summary'!$C$6</f>
        <v>18209.919878870631</v>
      </c>
      <c r="E63" s="39">
        <f t="shared" si="0"/>
        <v>166862.41987887063</v>
      </c>
      <c r="F63" s="45">
        <f t="shared" ref="F63:F67" si="1">E63*10/12+E62*2/12</f>
        <v>166028.10777947627</v>
      </c>
    </row>
    <row r="64" spans="2:6" x14ac:dyDescent="0.3">
      <c r="B64" s="44">
        <v>46054</v>
      </c>
      <c r="C64" s="46">
        <f>'Inputs and Summary'!B17</f>
        <v>157847.5</v>
      </c>
      <c r="D64" s="46">
        <f>C64/2080*'Inputs and Summary'!$C$6</f>
        <v>19336.306675501804</v>
      </c>
      <c r="E64" s="39">
        <f t="shared" si="0"/>
        <v>177183.80667550181</v>
      </c>
      <c r="F64" s="45">
        <f t="shared" si="1"/>
        <v>175463.57554272996</v>
      </c>
    </row>
    <row r="65" spans="2:6" x14ac:dyDescent="0.3">
      <c r="B65" s="44">
        <v>46419</v>
      </c>
      <c r="C65" s="46">
        <f>'Inputs and Summary'!D17</f>
        <v>168896.82500000001</v>
      </c>
      <c r="D65" s="46">
        <f>C65/2080*'Inputs and Summary'!$C$6</f>
        <v>20689.84814278693</v>
      </c>
      <c r="E65" s="39">
        <f t="shared" si="0"/>
        <v>189586.67314278695</v>
      </c>
      <c r="F65" s="45">
        <f t="shared" si="1"/>
        <v>187519.52873157276</v>
      </c>
    </row>
    <row r="66" spans="2:6" x14ac:dyDescent="0.3">
      <c r="B66" s="44">
        <v>46784</v>
      </c>
      <c r="C66" s="46">
        <f>'Inputs and Summary'!E17</f>
        <v>178186.150375</v>
      </c>
      <c r="D66" s="46">
        <f>C66/2080*'Inputs and Summary'!$C$6</f>
        <v>21827.78979064021</v>
      </c>
      <c r="E66" s="39">
        <f t="shared" si="0"/>
        <v>200013.9401656402</v>
      </c>
      <c r="F66" s="45">
        <f t="shared" si="1"/>
        <v>198276.062328498</v>
      </c>
    </row>
    <row r="67" spans="2:6" x14ac:dyDescent="0.3">
      <c r="B67" s="44">
        <v>47150</v>
      </c>
      <c r="C67" s="46">
        <f>'Inputs and Summary'!F17</f>
        <v>187986.38864562497</v>
      </c>
      <c r="D67" s="46">
        <f>C67/2080*'Inputs and Summary'!$C$6</f>
        <v>23028.31822912542</v>
      </c>
      <c r="E67" s="39">
        <f t="shared" si="0"/>
        <v>211014.70687475038</v>
      </c>
      <c r="F67" s="45">
        <f t="shared" si="1"/>
        <v>209181.24575656536</v>
      </c>
    </row>
    <row r="68" spans="2:6" x14ac:dyDescent="0.3">
      <c r="B68" s="44">
        <v>47515</v>
      </c>
      <c r="C68" s="46">
        <f>'Inputs and Summary'!G17</f>
        <v>198325.64002113434</v>
      </c>
      <c r="D68" s="46">
        <f>C68/2080*'Inputs and Summary'!$C$6</f>
        <v>24294.875731727316</v>
      </c>
      <c r="E68" s="39">
        <f>D68+C68</f>
        <v>222620.51575286165</v>
      </c>
      <c r="F68" s="45">
        <f>E68*10/12+E67*2/12</f>
        <v>220686.21427317645</v>
      </c>
    </row>
  </sheetData>
  <mergeCells count="4">
    <mergeCell ref="B2:B5"/>
    <mergeCell ref="B11:B14"/>
    <mergeCell ref="B19:B23"/>
    <mergeCell ref="B15:B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5895-05D4-4910-9BF3-B5224423BF57}">
  <dimension ref="B1:K276"/>
  <sheetViews>
    <sheetView topLeftCell="A2" workbookViewId="0">
      <selection activeCell="A2" sqref="A2"/>
    </sheetView>
  </sheetViews>
  <sheetFormatPr defaultRowHeight="14.4" x14ac:dyDescent="0.3"/>
  <cols>
    <col min="2" max="2" width="10.88671875" bestFit="1" customWidth="1"/>
    <col min="3" max="3" width="10.88671875" style="2" customWidth="1"/>
    <col min="4" max="4" width="10.5546875" bestFit="1" customWidth="1"/>
    <col min="5" max="9" width="14" bestFit="1" customWidth="1"/>
    <col min="10" max="10" width="11.109375" bestFit="1" customWidth="1"/>
    <col min="11" max="11" width="9.109375" style="38"/>
  </cols>
  <sheetData>
    <row r="1" spans="2:11" x14ac:dyDescent="0.3">
      <c r="B1" s="214" t="s">
        <v>287</v>
      </c>
      <c r="C1" s="214"/>
      <c r="D1" s="214"/>
      <c r="E1" s="214"/>
      <c r="F1" s="214"/>
    </row>
    <row r="2" spans="2:11" x14ac:dyDescent="0.3">
      <c r="B2" t="s">
        <v>277</v>
      </c>
      <c r="C2" s="2" t="s">
        <v>365</v>
      </c>
      <c r="D2" t="s">
        <v>293</v>
      </c>
      <c r="E2" t="s">
        <v>292</v>
      </c>
      <c r="F2" t="s">
        <v>274</v>
      </c>
      <c r="G2" t="s">
        <v>275</v>
      </c>
      <c r="H2" t="s">
        <v>276</v>
      </c>
      <c r="I2" t="s">
        <v>291</v>
      </c>
      <c r="J2" t="s">
        <v>391</v>
      </c>
      <c r="K2" s="38" t="s">
        <v>392</v>
      </c>
    </row>
    <row r="3" spans="2:11" x14ac:dyDescent="0.3">
      <c r="B3" t="s">
        <v>0</v>
      </c>
      <c r="C3" s="2" t="s">
        <v>366</v>
      </c>
      <c r="D3" s="1">
        <v>62</v>
      </c>
      <c r="E3" s="1">
        <v>89030</v>
      </c>
      <c r="F3" s="1">
        <v>90013.5</v>
      </c>
      <c r="G3" s="1">
        <v>92555</v>
      </c>
      <c r="H3" s="1">
        <v>95999</v>
      </c>
      <c r="I3" s="1">
        <v>98690.7</v>
      </c>
      <c r="J3">
        <v>93000</v>
      </c>
      <c r="K3" s="38">
        <v>1.0099975358422937</v>
      </c>
    </row>
    <row r="4" spans="2:11" x14ac:dyDescent="0.3">
      <c r="B4" t="s">
        <v>1</v>
      </c>
      <c r="C4" s="2" t="s">
        <v>366</v>
      </c>
      <c r="D4" s="1">
        <v>293</v>
      </c>
      <c r="E4" s="1">
        <v>103107</v>
      </c>
      <c r="F4" s="1">
        <v>107786</v>
      </c>
      <c r="G4" s="1">
        <v>109965</v>
      </c>
      <c r="H4" s="1">
        <v>113105</v>
      </c>
      <c r="I4" s="1">
        <v>116000</v>
      </c>
      <c r="J4">
        <v>116000</v>
      </c>
      <c r="K4" s="38">
        <v>0.94805808930852054</v>
      </c>
    </row>
    <row r="5" spans="2:11" x14ac:dyDescent="0.3">
      <c r="B5" t="s">
        <v>2</v>
      </c>
      <c r="C5" s="2" t="s">
        <v>366</v>
      </c>
      <c r="D5" s="1">
        <v>252</v>
      </c>
      <c r="E5" s="1">
        <v>127331.5</v>
      </c>
      <c r="F5" s="1">
        <v>131246</v>
      </c>
      <c r="G5" s="1">
        <v>137119</v>
      </c>
      <c r="H5" s="1">
        <v>143176.25</v>
      </c>
      <c r="I5" s="1">
        <v>150259.29999999999</v>
      </c>
      <c r="J5">
        <v>141000</v>
      </c>
      <c r="K5" s="38">
        <v>0.9823461224228649</v>
      </c>
    </row>
    <row r="6" spans="2:11" x14ac:dyDescent="0.3">
      <c r="B6" t="s">
        <v>3</v>
      </c>
      <c r="C6" s="2" t="s">
        <v>366</v>
      </c>
      <c r="D6" s="1">
        <v>303</v>
      </c>
      <c r="E6" s="1">
        <v>161147.20000000001</v>
      </c>
      <c r="F6" s="1">
        <v>167392.5</v>
      </c>
      <c r="G6" s="1">
        <v>175138</v>
      </c>
      <c r="H6" s="1">
        <v>185953.5</v>
      </c>
      <c r="I6" s="1">
        <v>200474.4</v>
      </c>
      <c r="J6">
        <v>172000</v>
      </c>
      <c r="K6" s="38">
        <v>1.0336584901558561</v>
      </c>
    </row>
    <row r="7" spans="2:11" x14ac:dyDescent="0.3">
      <c r="B7" t="s">
        <v>4</v>
      </c>
      <c r="C7" s="2" t="s">
        <v>366</v>
      </c>
      <c r="D7" s="1">
        <v>136</v>
      </c>
      <c r="E7" s="1">
        <v>198039</v>
      </c>
      <c r="F7" s="1">
        <v>203603</v>
      </c>
      <c r="G7" s="1">
        <v>213262</v>
      </c>
      <c r="H7" s="1">
        <v>225235.25</v>
      </c>
      <c r="I7" s="1">
        <v>235749</v>
      </c>
      <c r="J7">
        <v>208000</v>
      </c>
      <c r="K7" s="38">
        <v>1.0405511540402501</v>
      </c>
    </row>
    <row r="8" spans="2:11" x14ac:dyDescent="0.3">
      <c r="B8" t="s">
        <v>5</v>
      </c>
      <c r="C8" s="2" t="s">
        <v>366</v>
      </c>
      <c r="D8" s="1">
        <v>13</v>
      </c>
      <c r="E8" s="1">
        <v>245459.6</v>
      </c>
      <c r="F8" s="1">
        <v>250521</v>
      </c>
      <c r="G8" s="1">
        <v>254875</v>
      </c>
      <c r="H8" s="1">
        <v>275386</v>
      </c>
      <c r="I8" s="1">
        <v>290101.59999999998</v>
      </c>
      <c r="J8">
        <v>248000</v>
      </c>
      <c r="K8" s="38">
        <v>1.0442599255583127</v>
      </c>
    </row>
    <row r="9" spans="2:11" x14ac:dyDescent="0.3">
      <c r="B9" t="s">
        <v>6</v>
      </c>
      <c r="C9" s="2" t="s">
        <v>366</v>
      </c>
      <c r="D9" s="1">
        <v>36</v>
      </c>
      <c r="E9" s="1">
        <v>90000</v>
      </c>
      <c r="F9" s="1">
        <v>90780</v>
      </c>
      <c r="G9" s="1">
        <v>92333.5</v>
      </c>
      <c r="H9" s="1">
        <v>94650.5</v>
      </c>
      <c r="I9" s="1">
        <v>96701</v>
      </c>
      <c r="J9">
        <v>93000</v>
      </c>
      <c r="K9" s="38">
        <v>1.0012840790842872</v>
      </c>
    </row>
    <row r="10" spans="2:11" x14ac:dyDescent="0.3">
      <c r="B10" t="s">
        <v>7</v>
      </c>
      <c r="C10" s="2" t="s">
        <v>366</v>
      </c>
      <c r="D10" s="1">
        <v>84</v>
      </c>
      <c r="E10" s="1">
        <v>105993.7</v>
      </c>
      <c r="F10" s="1">
        <v>107559</v>
      </c>
      <c r="G10" s="1">
        <v>108861</v>
      </c>
      <c r="H10" s="1">
        <v>109995.25</v>
      </c>
      <c r="I10" s="1">
        <v>112223.7</v>
      </c>
      <c r="J10">
        <v>116000</v>
      </c>
      <c r="K10" s="38">
        <v>0.94099979716024318</v>
      </c>
    </row>
    <row r="11" spans="2:11" x14ac:dyDescent="0.3">
      <c r="B11" t="s">
        <v>8</v>
      </c>
      <c r="C11" s="2" t="s">
        <v>366</v>
      </c>
      <c r="D11" s="1">
        <v>107</v>
      </c>
      <c r="E11" s="1">
        <v>127606.8</v>
      </c>
      <c r="F11" s="1">
        <v>132000</v>
      </c>
      <c r="G11" s="1">
        <v>135725</v>
      </c>
      <c r="H11" s="1">
        <v>140600</v>
      </c>
      <c r="I11" s="1">
        <v>146328.80000000002</v>
      </c>
      <c r="J11">
        <v>141000</v>
      </c>
      <c r="K11" s="38">
        <v>0.96798304319793671</v>
      </c>
    </row>
    <row r="12" spans="2:11" x14ac:dyDescent="0.3">
      <c r="B12" t="s">
        <v>9</v>
      </c>
      <c r="C12" s="2" t="s">
        <v>366</v>
      </c>
      <c r="D12" s="1">
        <v>145</v>
      </c>
      <c r="E12" s="1">
        <v>159074.4</v>
      </c>
      <c r="F12" s="1">
        <v>164326</v>
      </c>
      <c r="G12" s="1">
        <v>170983</v>
      </c>
      <c r="H12" s="1">
        <v>178398</v>
      </c>
      <c r="I12" s="1">
        <v>187782.2</v>
      </c>
      <c r="J12">
        <v>172000</v>
      </c>
      <c r="K12" s="38">
        <v>1.0017412005028281</v>
      </c>
    </row>
    <row r="13" spans="2:11" x14ac:dyDescent="0.3">
      <c r="B13" t="s">
        <v>10</v>
      </c>
      <c r="C13" s="2" t="s">
        <v>366</v>
      </c>
      <c r="D13" s="1">
        <v>30</v>
      </c>
      <c r="E13" s="1">
        <v>200686.1</v>
      </c>
      <c r="F13" s="1">
        <v>206331.5</v>
      </c>
      <c r="G13" s="1">
        <v>209611</v>
      </c>
      <c r="H13" s="1">
        <v>218733.5</v>
      </c>
      <c r="I13" s="1">
        <v>226788.8</v>
      </c>
      <c r="J13">
        <v>208000</v>
      </c>
      <c r="K13" s="38">
        <v>1.018853753101737</v>
      </c>
    </row>
    <row r="14" spans="2:11" x14ac:dyDescent="0.3">
      <c r="B14" t="s">
        <v>11</v>
      </c>
      <c r="C14" s="2" t="s">
        <v>366</v>
      </c>
      <c r="D14" s="1">
        <v>6</v>
      </c>
      <c r="E14" s="1">
        <v>91799.5</v>
      </c>
      <c r="F14" s="1">
        <v>94657</v>
      </c>
      <c r="G14" s="1">
        <v>96429.5</v>
      </c>
      <c r="H14" s="1">
        <v>98541</v>
      </c>
      <c r="I14" s="1">
        <v>104251.5</v>
      </c>
      <c r="J14">
        <v>93000</v>
      </c>
      <c r="K14" s="38">
        <v>1.0660666666666667</v>
      </c>
    </row>
    <row r="15" spans="2:11" x14ac:dyDescent="0.3">
      <c r="B15" t="s">
        <v>12</v>
      </c>
      <c r="C15" s="2" t="s">
        <v>366</v>
      </c>
      <c r="D15" s="1">
        <v>37</v>
      </c>
      <c r="E15" s="1">
        <v>107768.8</v>
      </c>
      <c r="F15" s="1">
        <v>109003</v>
      </c>
      <c r="G15" s="1">
        <v>114250</v>
      </c>
      <c r="H15" s="1">
        <v>124812</v>
      </c>
      <c r="I15" s="1">
        <v>137046</v>
      </c>
      <c r="J15">
        <v>116000</v>
      </c>
      <c r="K15" s="38">
        <v>1.013025198938992</v>
      </c>
    </row>
    <row r="16" spans="2:11" x14ac:dyDescent="0.3">
      <c r="B16" t="s">
        <v>13</v>
      </c>
      <c r="C16" s="2" t="s">
        <v>366</v>
      </c>
      <c r="D16" s="1">
        <v>26</v>
      </c>
      <c r="E16" s="1">
        <v>131335</v>
      </c>
      <c r="F16" s="1">
        <v>132733.25</v>
      </c>
      <c r="G16" s="1">
        <v>140469.5</v>
      </c>
      <c r="H16" s="1">
        <v>146413.75</v>
      </c>
      <c r="I16" s="1">
        <v>148654</v>
      </c>
      <c r="J16">
        <v>141000</v>
      </c>
      <c r="K16" s="38">
        <v>0.99803971631205657</v>
      </c>
    </row>
    <row r="17" spans="2:11" x14ac:dyDescent="0.3">
      <c r="B17" t="s">
        <v>14</v>
      </c>
      <c r="C17" s="2" t="s">
        <v>366</v>
      </c>
      <c r="D17" s="1">
        <v>35</v>
      </c>
      <c r="E17" s="1">
        <v>160482</v>
      </c>
      <c r="F17" s="1">
        <v>168644.5</v>
      </c>
      <c r="G17" s="1">
        <v>175015</v>
      </c>
      <c r="H17" s="1">
        <v>182983</v>
      </c>
      <c r="I17" s="1">
        <v>198861.4</v>
      </c>
      <c r="J17">
        <v>172000</v>
      </c>
      <c r="K17" s="38">
        <v>1.029075068611873</v>
      </c>
    </row>
    <row r="18" spans="2:11" x14ac:dyDescent="0.3">
      <c r="B18" t="s">
        <v>15</v>
      </c>
      <c r="C18" s="2" t="s">
        <v>366</v>
      </c>
      <c r="D18" s="1">
        <v>22</v>
      </c>
      <c r="E18" s="1">
        <v>213298.5</v>
      </c>
      <c r="F18" s="1">
        <v>229684.25</v>
      </c>
      <c r="G18" s="1">
        <v>239584</v>
      </c>
      <c r="H18" s="1">
        <v>246039.25</v>
      </c>
      <c r="I18" s="1">
        <v>258799.1</v>
      </c>
      <c r="J18">
        <v>208000</v>
      </c>
      <c r="K18" s="38">
        <v>1.1353051923076924</v>
      </c>
    </row>
    <row r="19" spans="2:11" x14ac:dyDescent="0.3">
      <c r="B19" t="s">
        <v>16</v>
      </c>
      <c r="C19" s="2" t="s">
        <v>366</v>
      </c>
      <c r="D19" s="1">
        <v>8</v>
      </c>
      <c r="E19" s="1">
        <v>90385</v>
      </c>
      <c r="F19" s="1">
        <v>91090.75</v>
      </c>
      <c r="G19" s="1">
        <v>93483</v>
      </c>
      <c r="H19" s="1">
        <v>97322</v>
      </c>
      <c r="I19" s="1">
        <v>99194.6</v>
      </c>
      <c r="J19">
        <v>93000</v>
      </c>
      <c r="K19" s="38">
        <v>1.0261899641577059</v>
      </c>
    </row>
    <row r="20" spans="2:11" x14ac:dyDescent="0.3">
      <c r="B20" t="s">
        <v>17</v>
      </c>
      <c r="C20" s="2" t="s">
        <v>366</v>
      </c>
      <c r="D20" s="1">
        <v>34</v>
      </c>
      <c r="E20" s="1">
        <v>105567.3</v>
      </c>
      <c r="F20" s="1">
        <v>109264.75</v>
      </c>
      <c r="G20" s="1">
        <v>111995</v>
      </c>
      <c r="H20" s="1">
        <v>117093.75</v>
      </c>
      <c r="I20" s="1">
        <v>118949.3</v>
      </c>
      <c r="J20">
        <v>116000</v>
      </c>
      <c r="K20" s="38">
        <v>0.96674187192118244</v>
      </c>
    </row>
    <row r="21" spans="2:11" x14ac:dyDescent="0.3">
      <c r="B21" t="s">
        <v>18</v>
      </c>
      <c r="C21" s="2" t="s">
        <v>366</v>
      </c>
      <c r="D21" s="1">
        <v>54</v>
      </c>
      <c r="E21" s="1">
        <v>131116.9</v>
      </c>
      <c r="F21" s="1">
        <v>133665.25</v>
      </c>
      <c r="G21" s="1">
        <v>139313.5</v>
      </c>
      <c r="H21" s="1">
        <v>146795.25</v>
      </c>
      <c r="I21" s="1">
        <v>156534.20000000001</v>
      </c>
      <c r="J21">
        <v>141000</v>
      </c>
      <c r="K21" s="38">
        <v>0.99361096067053534</v>
      </c>
    </row>
    <row r="22" spans="2:11" x14ac:dyDescent="0.3">
      <c r="B22" t="s">
        <v>19</v>
      </c>
      <c r="C22" s="2" t="s">
        <v>366</v>
      </c>
      <c r="D22" s="1">
        <v>45</v>
      </c>
      <c r="E22" s="1">
        <v>160792</v>
      </c>
      <c r="F22" s="1">
        <v>166625</v>
      </c>
      <c r="G22" s="1">
        <v>175000</v>
      </c>
      <c r="H22" s="1">
        <v>179487</v>
      </c>
      <c r="I22" s="1">
        <v>196581.6</v>
      </c>
      <c r="J22">
        <v>172000</v>
      </c>
      <c r="K22" s="38">
        <v>1.0220026541961575</v>
      </c>
    </row>
    <row r="23" spans="2:11" x14ac:dyDescent="0.3">
      <c r="B23" t="s">
        <v>20</v>
      </c>
      <c r="C23" s="2" t="s">
        <v>366</v>
      </c>
      <c r="D23" s="1">
        <v>34</v>
      </c>
      <c r="E23" s="1">
        <v>204033.3</v>
      </c>
      <c r="F23" s="1">
        <v>214887.75</v>
      </c>
      <c r="G23" s="1">
        <v>228986</v>
      </c>
      <c r="H23" s="1">
        <v>237413</v>
      </c>
      <c r="I23" s="1">
        <v>247567.5</v>
      </c>
      <c r="J23">
        <v>208000</v>
      </c>
      <c r="K23" s="38">
        <v>1.0994742723492723</v>
      </c>
    </row>
    <row r="24" spans="2:11" x14ac:dyDescent="0.3">
      <c r="B24" t="s">
        <v>21</v>
      </c>
      <c r="C24" s="2" t="s">
        <v>366</v>
      </c>
      <c r="D24" s="1">
        <v>10</v>
      </c>
      <c r="E24" s="1">
        <v>250059.4</v>
      </c>
      <c r="F24" s="1">
        <v>253993.75</v>
      </c>
      <c r="G24" s="1">
        <v>260717.5</v>
      </c>
      <c r="H24" s="1">
        <v>287135.5</v>
      </c>
      <c r="I24" s="1">
        <v>292291.5</v>
      </c>
      <c r="J24">
        <v>248000</v>
      </c>
      <c r="K24" s="38">
        <v>1.0949182270423927</v>
      </c>
    </row>
    <row r="25" spans="2:11" x14ac:dyDescent="0.3">
      <c r="B25" t="s">
        <v>22</v>
      </c>
      <c r="C25" s="2" t="s">
        <v>367</v>
      </c>
      <c r="D25" s="1">
        <v>5</v>
      </c>
      <c r="E25" s="1">
        <v>78062</v>
      </c>
      <c r="F25" s="1">
        <v>79982</v>
      </c>
      <c r="G25" s="1">
        <v>83757</v>
      </c>
      <c r="H25" s="1">
        <v>85475</v>
      </c>
      <c r="I25" s="1">
        <v>97141.4</v>
      </c>
      <c r="J25">
        <v>72000</v>
      </c>
      <c r="K25" s="38">
        <v>1.1635925925925927</v>
      </c>
    </row>
    <row r="26" spans="2:11" x14ac:dyDescent="0.3">
      <c r="B26" t="s">
        <v>23</v>
      </c>
      <c r="C26" s="2" t="s">
        <v>367</v>
      </c>
      <c r="D26" s="1">
        <v>54</v>
      </c>
      <c r="E26" s="1">
        <v>94659.6</v>
      </c>
      <c r="F26" s="1">
        <v>98110</v>
      </c>
      <c r="G26" s="1">
        <v>103406</v>
      </c>
      <c r="H26" s="1">
        <v>108419.75</v>
      </c>
      <c r="I26" s="1">
        <v>116909.7</v>
      </c>
      <c r="J26">
        <v>87000</v>
      </c>
      <c r="K26" s="38">
        <v>1.2025086387623798</v>
      </c>
    </row>
    <row r="27" spans="2:11" x14ac:dyDescent="0.3">
      <c r="B27" t="s">
        <v>24</v>
      </c>
      <c r="C27" s="2" t="s">
        <v>367</v>
      </c>
      <c r="D27" s="1">
        <v>91</v>
      </c>
      <c r="E27" s="1">
        <v>119653</v>
      </c>
      <c r="F27" s="1">
        <v>124441.5</v>
      </c>
      <c r="G27" s="1">
        <v>132604</v>
      </c>
      <c r="H27" s="1">
        <v>142447</v>
      </c>
      <c r="I27" s="1">
        <v>149507</v>
      </c>
      <c r="J27">
        <v>103000</v>
      </c>
      <c r="K27" s="38">
        <v>1.3080138243984809</v>
      </c>
    </row>
    <row r="28" spans="2:11" x14ac:dyDescent="0.3">
      <c r="B28" t="s">
        <v>25</v>
      </c>
      <c r="C28" s="2" t="s">
        <v>367</v>
      </c>
      <c r="D28" s="1">
        <v>27</v>
      </c>
      <c r="E28" s="1">
        <v>156256.79999999999</v>
      </c>
      <c r="F28" s="1">
        <v>159985.5</v>
      </c>
      <c r="G28" s="1">
        <v>162095</v>
      </c>
      <c r="H28" s="1">
        <v>171544.5</v>
      </c>
      <c r="I28" s="1">
        <v>186861.80000000002</v>
      </c>
      <c r="J28">
        <v>123000</v>
      </c>
      <c r="K28" s="38">
        <v>1.3537985546522131</v>
      </c>
    </row>
    <row r="29" spans="2:11" x14ac:dyDescent="0.3">
      <c r="B29" t="s">
        <v>26</v>
      </c>
      <c r="C29" s="2" t="s">
        <v>366</v>
      </c>
      <c r="D29" s="1">
        <v>63</v>
      </c>
      <c r="E29" s="1">
        <v>156800.79999999999</v>
      </c>
      <c r="F29" s="1">
        <v>160905</v>
      </c>
      <c r="G29" s="1">
        <v>169932</v>
      </c>
      <c r="H29" s="1">
        <v>177468.5</v>
      </c>
      <c r="I29" s="1">
        <v>183801.60000000001</v>
      </c>
      <c r="J29">
        <v>172000</v>
      </c>
      <c r="K29" s="38">
        <v>0.99304981394486469</v>
      </c>
    </row>
    <row r="30" spans="2:11" x14ac:dyDescent="0.3">
      <c r="B30" t="s">
        <v>27</v>
      </c>
      <c r="C30" s="2" t="s">
        <v>366</v>
      </c>
      <c r="D30" s="1">
        <v>71</v>
      </c>
      <c r="E30" s="1">
        <v>194939</v>
      </c>
      <c r="F30" s="1">
        <v>200518</v>
      </c>
      <c r="G30" s="1">
        <v>209090</v>
      </c>
      <c r="H30" s="1">
        <v>217115.5</v>
      </c>
      <c r="I30" s="1">
        <v>231278</v>
      </c>
      <c r="J30">
        <v>208000</v>
      </c>
      <c r="K30" s="38">
        <v>1.0158886824515687</v>
      </c>
    </row>
    <row r="31" spans="2:11" x14ac:dyDescent="0.3">
      <c r="B31" t="s">
        <v>28</v>
      </c>
      <c r="C31" s="2" t="s">
        <v>366</v>
      </c>
      <c r="D31" s="1">
        <v>11</v>
      </c>
      <c r="E31" s="1">
        <v>241428</v>
      </c>
      <c r="F31" s="1">
        <v>245298.5</v>
      </c>
      <c r="G31" s="1">
        <v>256000</v>
      </c>
      <c r="H31" s="1">
        <v>275111</v>
      </c>
      <c r="I31" s="1">
        <v>293486</v>
      </c>
      <c r="J31">
        <v>248000</v>
      </c>
      <c r="K31" s="38">
        <v>1.0582166422287391</v>
      </c>
    </row>
    <row r="32" spans="2:11" x14ac:dyDescent="0.3">
      <c r="B32" t="s">
        <v>29</v>
      </c>
      <c r="C32" s="2" t="s">
        <v>366</v>
      </c>
      <c r="D32" s="1">
        <v>18</v>
      </c>
      <c r="E32" s="1">
        <v>101382.5</v>
      </c>
      <c r="F32" s="1">
        <v>103954.25</v>
      </c>
      <c r="G32" s="1">
        <v>105442.5</v>
      </c>
      <c r="H32" s="1">
        <v>106891.25</v>
      </c>
      <c r="I32" s="1">
        <v>111096.4</v>
      </c>
      <c r="J32">
        <v>90001</v>
      </c>
      <c r="K32" s="38">
        <v>1.179429000496486</v>
      </c>
    </row>
    <row r="33" spans="2:11" x14ac:dyDescent="0.3">
      <c r="B33" t="s">
        <v>30</v>
      </c>
      <c r="C33" s="2" t="s">
        <v>366</v>
      </c>
      <c r="D33" s="1">
        <v>9</v>
      </c>
      <c r="E33" s="1">
        <v>114390</v>
      </c>
      <c r="F33" s="1">
        <v>118371</v>
      </c>
      <c r="G33" s="1">
        <v>121535</v>
      </c>
      <c r="H33" s="1">
        <v>124024</v>
      </c>
      <c r="I33" s="1">
        <v>124955.2</v>
      </c>
      <c r="J33">
        <v>128000</v>
      </c>
      <c r="K33" s="38">
        <v>0.94419270833333335</v>
      </c>
    </row>
    <row r="34" spans="2:11" x14ac:dyDescent="0.3">
      <c r="B34" t="s">
        <v>31</v>
      </c>
      <c r="C34" s="2" t="s">
        <v>366</v>
      </c>
      <c r="D34" s="1">
        <v>9</v>
      </c>
      <c r="E34" s="1">
        <v>141887</v>
      </c>
      <c r="F34" s="1">
        <v>144732</v>
      </c>
      <c r="G34" s="1">
        <v>150075</v>
      </c>
      <c r="H34" s="1">
        <v>158620</v>
      </c>
      <c r="I34" s="1">
        <v>160204</v>
      </c>
      <c r="J34">
        <v>162000</v>
      </c>
      <c r="K34" s="38">
        <v>0.93247131264818905</v>
      </c>
    </row>
    <row r="35" spans="2:11" x14ac:dyDescent="0.3">
      <c r="B35" t="s">
        <v>32</v>
      </c>
      <c r="C35" s="2" t="s">
        <v>366</v>
      </c>
      <c r="D35" s="1">
        <v>8</v>
      </c>
      <c r="E35" s="1">
        <v>176748</v>
      </c>
      <c r="F35" s="1">
        <v>180127.5</v>
      </c>
      <c r="G35" s="1">
        <v>184463</v>
      </c>
      <c r="H35" s="1">
        <v>189099</v>
      </c>
      <c r="I35" s="1">
        <v>191343.6</v>
      </c>
      <c r="J35">
        <v>204000</v>
      </c>
      <c r="K35" s="38">
        <v>0.89919444444444452</v>
      </c>
    </row>
    <row r="36" spans="2:11" x14ac:dyDescent="0.3">
      <c r="B36" t="s">
        <v>33</v>
      </c>
      <c r="C36" s="2" t="s">
        <v>366</v>
      </c>
      <c r="D36" s="1">
        <v>7</v>
      </c>
      <c r="E36" s="1">
        <v>209717.4</v>
      </c>
      <c r="F36" s="1">
        <v>217255.5</v>
      </c>
      <c r="G36" s="1">
        <v>217788</v>
      </c>
      <c r="H36" s="1">
        <v>220791</v>
      </c>
      <c r="I36" s="1">
        <v>227574.6</v>
      </c>
      <c r="J36">
        <v>257000</v>
      </c>
      <c r="K36" s="38">
        <v>0.84878154530294603</v>
      </c>
    </row>
    <row r="37" spans="2:11" x14ac:dyDescent="0.3">
      <c r="B37" t="s">
        <v>34</v>
      </c>
      <c r="C37" s="2" t="s">
        <v>366</v>
      </c>
      <c r="D37" s="1">
        <v>8</v>
      </c>
      <c r="E37" s="1">
        <v>105120</v>
      </c>
      <c r="F37" s="1">
        <v>105120</v>
      </c>
      <c r="G37" s="1">
        <v>114377</v>
      </c>
      <c r="H37" s="1">
        <v>123000</v>
      </c>
      <c r="I37" s="1">
        <v>123541.5</v>
      </c>
      <c r="J37">
        <v>107000</v>
      </c>
      <c r="K37" s="38">
        <v>1.0319357476635516</v>
      </c>
    </row>
    <row r="38" spans="2:11" x14ac:dyDescent="0.3">
      <c r="B38" t="s">
        <v>35</v>
      </c>
      <c r="C38" s="2" t="s">
        <v>366</v>
      </c>
      <c r="D38" s="1">
        <v>10</v>
      </c>
      <c r="E38" s="1">
        <v>131965.79999999999</v>
      </c>
      <c r="F38" s="1">
        <v>135134.25</v>
      </c>
      <c r="G38" s="1">
        <v>137340</v>
      </c>
      <c r="H38" s="1">
        <v>145921</v>
      </c>
      <c r="I38" s="1">
        <v>149938.9</v>
      </c>
      <c r="J38">
        <v>131000</v>
      </c>
      <c r="K38" s="38">
        <v>1.0579099236641221</v>
      </c>
    </row>
    <row r="39" spans="2:11" x14ac:dyDescent="0.3">
      <c r="B39" t="s">
        <v>36</v>
      </c>
      <c r="C39" s="2" t="s">
        <v>366</v>
      </c>
      <c r="D39" s="1">
        <v>15</v>
      </c>
      <c r="E39" s="1">
        <v>152703</v>
      </c>
      <c r="F39" s="1">
        <v>153986</v>
      </c>
      <c r="G39" s="1">
        <v>162647</v>
      </c>
      <c r="H39" s="1">
        <v>180549</v>
      </c>
      <c r="I39" s="1">
        <v>201997</v>
      </c>
      <c r="J39">
        <v>159000</v>
      </c>
      <c r="K39" s="38">
        <v>1.0910193171608269</v>
      </c>
    </row>
    <row r="40" spans="2:11" x14ac:dyDescent="0.3">
      <c r="B40" t="s">
        <v>37</v>
      </c>
      <c r="C40" s="2" t="s">
        <v>366</v>
      </c>
      <c r="D40" s="1">
        <v>8</v>
      </c>
      <c r="E40" s="1">
        <v>203605</v>
      </c>
      <c r="F40" s="1">
        <v>208174.75</v>
      </c>
      <c r="G40" s="1">
        <v>216918</v>
      </c>
      <c r="H40" s="1">
        <v>225933</v>
      </c>
      <c r="I40" s="1">
        <v>245640.3</v>
      </c>
      <c r="J40">
        <v>195000</v>
      </c>
      <c r="K40" s="38">
        <v>1.1440267806267803</v>
      </c>
    </row>
    <row r="41" spans="2:11" x14ac:dyDescent="0.3">
      <c r="B41" t="s">
        <v>38</v>
      </c>
      <c r="C41" s="2" t="s">
        <v>367</v>
      </c>
      <c r="D41" s="1">
        <v>6</v>
      </c>
      <c r="E41" s="1">
        <v>86045.5</v>
      </c>
      <c r="F41" s="1">
        <v>93926</v>
      </c>
      <c r="G41" s="1">
        <v>108431.5</v>
      </c>
      <c r="H41" s="1">
        <v>111558.75</v>
      </c>
      <c r="I41" s="1">
        <v>113216</v>
      </c>
      <c r="J41">
        <v>81000</v>
      </c>
      <c r="K41" s="38">
        <v>1.2662263374485596</v>
      </c>
    </row>
    <row r="42" spans="2:11" x14ac:dyDescent="0.3">
      <c r="B42" t="s">
        <v>39</v>
      </c>
      <c r="C42" s="2" t="s">
        <v>367</v>
      </c>
      <c r="D42" s="1">
        <v>10</v>
      </c>
      <c r="E42" s="1">
        <v>105932.1</v>
      </c>
      <c r="F42" s="1">
        <v>115015.75</v>
      </c>
      <c r="G42" s="1">
        <v>120915.5</v>
      </c>
      <c r="H42" s="1">
        <v>131269.75</v>
      </c>
      <c r="I42" s="1">
        <v>133945.29999999999</v>
      </c>
      <c r="J42">
        <v>102000</v>
      </c>
      <c r="K42" s="38">
        <v>1.1947186274509805</v>
      </c>
    </row>
    <row r="43" spans="2:11" x14ac:dyDescent="0.3">
      <c r="B43" t="s">
        <v>40</v>
      </c>
      <c r="C43" s="2" t="s">
        <v>366</v>
      </c>
      <c r="D43" s="1">
        <v>13</v>
      </c>
      <c r="E43" s="1">
        <v>101628.4</v>
      </c>
      <c r="F43" s="1">
        <v>102703</v>
      </c>
      <c r="G43" s="1">
        <v>104133</v>
      </c>
      <c r="H43" s="1">
        <v>107000</v>
      </c>
      <c r="I43" s="1">
        <v>109996.6</v>
      </c>
      <c r="J43">
        <v>107000</v>
      </c>
      <c r="K43" s="38">
        <v>0.97434766355140179</v>
      </c>
    </row>
    <row r="44" spans="2:11" x14ac:dyDescent="0.3">
      <c r="B44" t="s">
        <v>41</v>
      </c>
      <c r="C44" s="2" t="s">
        <v>366</v>
      </c>
      <c r="D44" s="1">
        <v>36</v>
      </c>
      <c r="E44" s="1">
        <v>126054.5</v>
      </c>
      <c r="F44" s="1">
        <v>127591.75</v>
      </c>
      <c r="G44" s="1">
        <v>130331</v>
      </c>
      <c r="H44" s="1">
        <v>137423</v>
      </c>
      <c r="I44" s="1">
        <v>143880</v>
      </c>
      <c r="J44">
        <v>131000</v>
      </c>
      <c r="K44" s="38">
        <v>1.0185181586860976</v>
      </c>
    </row>
    <row r="45" spans="2:11" x14ac:dyDescent="0.3">
      <c r="B45" t="s">
        <v>42</v>
      </c>
      <c r="C45" s="2" t="s">
        <v>366</v>
      </c>
      <c r="D45" s="1">
        <v>73</v>
      </c>
      <c r="E45" s="1">
        <v>154196.4</v>
      </c>
      <c r="F45" s="1">
        <v>159392</v>
      </c>
      <c r="G45" s="1">
        <v>164100</v>
      </c>
      <c r="H45" s="1">
        <v>172609</v>
      </c>
      <c r="I45" s="1">
        <v>182023.8</v>
      </c>
      <c r="J45">
        <v>159000</v>
      </c>
      <c r="K45" s="38">
        <v>1.0469352115102957</v>
      </c>
    </row>
    <row r="46" spans="2:11" x14ac:dyDescent="0.3">
      <c r="B46" t="s">
        <v>43</v>
      </c>
      <c r="C46" s="2" t="s">
        <v>366</v>
      </c>
      <c r="D46" s="1">
        <v>43</v>
      </c>
      <c r="E46" s="1">
        <v>193216.6</v>
      </c>
      <c r="F46" s="1">
        <v>196675.5</v>
      </c>
      <c r="G46" s="1">
        <v>204117</v>
      </c>
      <c r="H46" s="1">
        <v>211136.5</v>
      </c>
      <c r="I46" s="1">
        <v>224690.40000000002</v>
      </c>
      <c r="J46">
        <v>195000</v>
      </c>
      <c r="K46" s="38">
        <v>1.0598469460771787</v>
      </c>
    </row>
    <row r="47" spans="2:11" x14ac:dyDescent="0.3">
      <c r="B47" t="s">
        <v>44</v>
      </c>
      <c r="C47" s="2" t="s">
        <v>367</v>
      </c>
      <c r="D47" s="1">
        <v>18</v>
      </c>
      <c r="E47" s="1">
        <v>93942</v>
      </c>
      <c r="F47" s="1">
        <v>101223.75</v>
      </c>
      <c r="G47" s="1">
        <v>108272</v>
      </c>
      <c r="H47" s="1">
        <v>119255.25</v>
      </c>
      <c r="I47" s="1">
        <v>122084.7</v>
      </c>
      <c r="J47">
        <v>92000</v>
      </c>
      <c r="K47" s="38">
        <v>1.1822167119565217</v>
      </c>
    </row>
    <row r="48" spans="2:11" x14ac:dyDescent="0.3">
      <c r="B48" t="s">
        <v>45</v>
      </c>
      <c r="C48" s="2" t="s">
        <v>367</v>
      </c>
      <c r="D48" s="1">
        <v>45</v>
      </c>
      <c r="E48" s="1">
        <v>124688.2</v>
      </c>
      <c r="F48" s="1">
        <v>126644</v>
      </c>
      <c r="G48" s="1">
        <v>135789</v>
      </c>
      <c r="H48" s="1">
        <v>144454</v>
      </c>
      <c r="I48" s="1">
        <v>154047.6</v>
      </c>
      <c r="J48">
        <v>116000</v>
      </c>
      <c r="K48" s="38">
        <v>1.1842018365817091</v>
      </c>
    </row>
    <row r="49" spans="2:11" x14ac:dyDescent="0.3">
      <c r="B49" t="s">
        <v>46</v>
      </c>
      <c r="C49" s="2" t="s">
        <v>366</v>
      </c>
      <c r="D49" s="1">
        <v>10</v>
      </c>
      <c r="E49" s="1">
        <v>101036.9</v>
      </c>
      <c r="F49" s="1">
        <v>101599</v>
      </c>
      <c r="G49" s="1">
        <v>104545</v>
      </c>
      <c r="H49" s="1">
        <v>106671</v>
      </c>
      <c r="I49" s="1">
        <v>111204.4</v>
      </c>
      <c r="J49">
        <v>105000</v>
      </c>
      <c r="K49" s="38">
        <v>0.99310687830687838</v>
      </c>
    </row>
    <row r="50" spans="2:11" x14ac:dyDescent="0.3">
      <c r="B50" t="s">
        <v>47</v>
      </c>
      <c r="C50" s="2" t="s">
        <v>366</v>
      </c>
      <c r="D50" s="1">
        <v>16</v>
      </c>
      <c r="E50" s="1">
        <v>125035</v>
      </c>
      <c r="F50" s="1">
        <v>132000</v>
      </c>
      <c r="G50" s="1">
        <v>135850.5</v>
      </c>
      <c r="H50" s="1">
        <v>139035</v>
      </c>
      <c r="I50" s="1">
        <v>145159.5</v>
      </c>
      <c r="J50">
        <v>126000</v>
      </c>
      <c r="K50" s="38">
        <v>1.0816562881562881</v>
      </c>
    </row>
    <row r="51" spans="2:11" x14ac:dyDescent="0.3">
      <c r="B51" t="s">
        <v>48</v>
      </c>
      <c r="C51" s="2" t="s">
        <v>366</v>
      </c>
      <c r="D51" s="1">
        <v>25</v>
      </c>
      <c r="E51" s="1">
        <v>152400</v>
      </c>
      <c r="F51" s="1">
        <v>158566</v>
      </c>
      <c r="G51" s="1">
        <v>162356</v>
      </c>
      <c r="H51" s="1">
        <v>168500</v>
      </c>
      <c r="I51" s="1">
        <v>185551.8</v>
      </c>
      <c r="J51">
        <v>154000</v>
      </c>
      <c r="K51" s="38">
        <v>1.071535113035113</v>
      </c>
    </row>
    <row r="52" spans="2:11" x14ac:dyDescent="0.3">
      <c r="B52" t="s">
        <v>49</v>
      </c>
      <c r="C52" s="2" t="s">
        <v>366</v>
      </c>
      <c r="D52" s="1">
        <v>26</v>
      </c>
      <c r="E52" s="1">
        <v>184849</v>
      </c>
      <c r="F52" s="1">
        <v>188733.5</v>
      </c>
      <c r="G52" s="1">
        <v>198941.5</v>
      </c>
      <c r="H52" s="1">
        <v>211605.5</v>
      </c>
      <c r="I52" s="1">
        <v>220244</v>
      </c>
      <c r="J52">
        <v>188000</v>
      </c>
      <c r="K52" s="38">
        <v>1.0648637479541736</v>
      </c>
    </row>
    <row r="53" spans="2:11" x14ac:dyDescent="0.3">
      <c r="B53" t="s">
        <v>50</v>
      </c>
      <c r="C53" s="2" t="s">
        <v>366</v>
      </c>
      <c r="D53" s="1">
        <v>7</v>
      </c>
      <c r="E53" s="1">
        <v>90717.6</v>
      </c>
      <c r="F53" s="1">
        <v>90798</v>
      </c>
      <c r="G53" s="1">
        <v>92500</v>
      </c>
      <c r="H53" s="1">
        <v>93805</v>
      </c>
      <c r="I53" s="1">
        <v>94462</v>
      </c>
      <c r="J53">
        <v>93000</v>
      </c>
      <c r="K53" s="38">
        <v>0.99394162826420895</v>
      </c>
    </row>
    <row r="54" spans="2:11" x14ac:dyDescent="0.3">
      <c r="B54" t="s">
        <v>51</v>
      </c>
      <c r="C54" s="2" t="s">
        <v>366</v>
      </c>
      <c r="D54" s="1">
        <v>64</v>
      </c>
      <c r="E54" s="1">
        <v>104585.3</v>
      </c>
      <c r="F54" s="1">
        <v>108300</v>
      </c>
      <c r="G54" s="1">
        <v>108640</v>
      </c>
      <c r="H54" s="1">
        <v>110088</v>
      </c>
      <c r="I54" s="1">
        <v>115475.5</v>
      </c>
      <c r="J54">
        <v>116000</v>
      </c>
      <c r="K54" s="38">
        <v>0.94585557029177703</v>
      </c>
    </row>
    <row r="55" spans="2:11" x14ac:dyDescent="0.3">
      <c r="B55" t="s">
        <v>52</v>
      </c>
      <c r="C55" s="2" t="s">
        <v>366</v>
      </c>
      <c r="D55" s="1">
        <v>46</v>
      </c>
      <c r="E55" s="1">
        <v>125225</v>
      </c>
      <c r="F55" s="1">
        <v>127037.5</v>
      </c>
      <c r="G55" s="1">
        <v>133368.5</v>
      </c>
      <c r="H55" s="1">
        <v>139850</v>
      </c>
      <c r="I55" s="1">
        <v>144790.5</v>
      </c>
      <c r="J55">
        <v>141000</v>
      </c>
      <c r="K55" s="38">
        <v>0.94682223250077113</v>
      </c>
    </row>
    <row r="56" spans="2:11" x14ac:dyDescent="0.3">
      <c r="B56" t="s">
        <v>53</v>
      </c>
      <c r="C56" s="2" t="s">
        <v>366</v>
      </c>
      <c r="D56" s="1">
        <v>85</v>
      </c>
      <c r="E56" s="1">
        <v>152630</v>
      </c>
      <c r="F56" s="1">
        <v>157784</v>
      </c>
      <c r="G56" s="1">
        <v>164500</v>
      </c>
      <c r="H56" s="1">
        <v>175644</v>
      </c>
      <c r="I56" s="1">
        <v>182985.60000000001</v>
      </c>
      <c r="J56">
        <v>172000</v>
      </c>
      <c r="K56" s="38">
        <v>0.96640731476473829</v>
      </c>
    </row>
    <row r="57" spans="2:11" x14ac:dyDescent="0.3">
      <c r="B57" t="s">
        <v>54</v>
      </c>
      <c r="C57" s="2" t="s">
        <v>366</v>
      </c>
      <c r="D57" s="1">
        <v>42</v>
      </c>
      <c r="E57" s="1">
        <v>193137.5</v>
      </c>
      <c r="F57" s="1">
        <v>196530.5</v>
      </c>
      <c r="G57" s="1">
        <v>208925</v>
      </c>
      <c r="H57" s="1">
        <v>216714.75</v>
      </c>
      <c r="I57" s="1">
        <v>226796</v>
      </c>
      <c r="J57">
        <v>208000</v>
      </c>
      <c r="K57" s="38">
        <v>1.0031643559928445</v>
      </c>
    </row>
    <row r="58" spans="2:11" x14ac:dyDescent="0.3">
      <c r="B58" t="s">
        <v>55</v>
      </c>
      <c r="C58" s="2" t="s">
        <v>366</v>
      </c>
      <c r="D58" s="1">
        <v>6</v>
      </c>
      <c r="E58" s="1">
        <v>236150</v>
      </c>
      <c r="F58" s="1">
        <v>240960</v>
      </c>
      <c r="G58" s="1">
        <v>245319</v>
      </c>
      <c r="H58" s="1">
        <v>255874.5</v>
      </c>
      <c r="I58" s="1">
        <v>259920</v>
      </c>
      <c r="J58">
        <v>248000</v>
      </c>
      <c r="K58" s="38">
        <v>0.99649059139784946</v>
      </c>
    </row>
    <row r="59" spans="2:11" x14ac:dyDescent="0.3">
      <c r="B59" t="s">
        <v>56</v>
      </c>
      <c r="C59" s="2" t="s">
        <v>366</v>
      </c>
      <c r="D59" s="1">
        <v>14</v>
      </c>
      <c r="E59" s="1">
        <v>90567.9</v>
      </c>
      <c r="F59" s="1">
        <v>91293.75</v>
      </c>
      <c r="G59" s="1">
        <v>92627.5</v>
      </c>
      <c r="H59" s="1">
        <v>93112.5</v>
      </c>
      <c r="I59" s="1">
        <v>94963.8</v>
      </c>
      <c r="J59">
        <v>93000</v>
      </c>
      <c r="K59" s="38">
        <v>0.99781720430107534</v>
      </c>
    </row>
    <row r="60" spans="2:11" x14ac:dyDescent="0.3">
      <c r="B60" t="s">
        <v>57</v>
      </c>
      <c r="C60" s="2" t="s">
        <v>366</v>
      </c>
      <c r="D60" s="1">
        <v>75</v>
      </c>
      <c r="E60" s="1">
        <v>108295.6</v>
      </c>
      <c r="F60" s="1">
        <v>110762</v>
      </c>
      <c r="G60" s="1">
        <v>114840</v>
      </c>
      <c r="H60" s="1">
        <v>116758</v>
      </c>
      <c r="I60" s="1">
        <v>119898</v>
      </c>
      <c r="J60">
        <v>116000</v>
      </c>
      <c r="K60" s="38">
        <v>0.98403843390804591</v>
      </c>
    </row>
    <row r="61" spans="2:11" x14ac:dyDescent="0.3">
      <c r="B61" t="s">
        <v>58</v>
      </c>
      <c r="C61" s="2" t="s">
        <v>366</v>
      </c>
      <c r="D61" s="1">
        <v>113</v>
      </c>
      <c r="E61" s="1">
        <v>126244.4</v>
      </c>
      <c r="F61" s="1">
        <v>130073</v>
      </c>
      <c r="G61" s="1">
        <v>135525</v>
      </c>
      <c r="H61" s="1">
        <v>140526</v>
      </c>
      <c r="I61" s="1">
        <v>146190</v>
      </c>
      <c r="J61">
        <v>141000</v>
      </c>
      <c r="K61" s="38">
        <v>0.96797473105762122</v>
      </c>
    </row>
    <row r="62" spans="2:11" x14ac:dyDescent="0.3">
      <c r="B62" t="s">
        <v>59</v>
      </c>
      <c r="C62" s="2" t="s">
        <v>366</v>
      </c>
      <c r="D62" s="1">
        <v>147</v>
      </c>
      <c r="E62" s="1">
        <v>160118.79999999999</v>
      </c>
      <c r="F62" s="1">
        <v>166279.5</v>
      </c>
      <c r="G62" s="1">
        <v>173421</v>
      </c>
      <c r="H62" s="1">
        <v>182841.5</v>
      </c>
      <c r="I62" s="1">
        <v>190733.2</v>
      </c>
      <c r="J62">
        <v>172000</v>
      </c>
      <c r="K62" s="38">
        <v>1.0178212138676075</v>
      </c>
    </row>
    <row r="63" spans="2:11" x14ac:dyDescent="0.3">
      <c r="B63" t="s">
        <v>60</v>
      </c>
      <c r="C63" s="2" t="s">
        <v>366</v>
      </c>
      <c r="D63" s="1">
        <v>57</v>
      </c>
      <c r="E63" s="1">
        <v>197796</v>
      </c>
      <c r="F63" s="1">
        <v>202804</v>
      </c>
      <c r="G63" s="1">
        <v>214208</v>
      </c>
      <c r="H63" s="1">
        <v>221454</v>
      </c>
      <c r="I63" s="1">
        <v>226236</v>
      </c>
      <c r="J63">
        <v>208000</v>
      </c>
      <c r="K63" s="38">
        <v>1.0215238051702398</v>
      </c>
    </row>
    <row r="64" spans="2:11" x14ac:dyDescent="0.3">
      <c r="B64" t="s">
        <v>61</v>
      </c>
      <c r="C64" s="2" t="s">
        <v>366</v>
      </c>
      <c r="D64" s="1">
        <v>11</v>
      </c>
      <c r="E64" s="1">
        <v>243372</v>
      </c>
      <c r="F64" s="1">
        <v>244400.5</v>
      </c>
      <c r="G64" s="1">
        <v>263209</v>
      </c>
      <c r="H64" s="1">
        <v>267427</v>
      </c>
      <c r="I64" s="1">
        <v>273156</v>
      </c>
      <c r="J64">
        <v>248000</v>
      </c>
      <c r="K64" s="38">
        <v>1.048061642228739</v>
      </c>
    </row>
    <row r="65" spans="2:11" x14ac:dyDescent="0.3">
      <c r="B65" t="s">
        <v>62</v>
      </c>
      <c r="C65" s="2" t="s">
        <v>366</v>
      </c>
      <c r="D65" s="1">
        <v>11</v>
      </c>
      <c r="E65" s="1">
        <v>88000</v>
      </c>
      <c r="F65" s="1">
        <v>89290</v>
      </c>
      <c r="G65" s="1">
        <v>93195</v>
      </c>
      <c r="H65" s="1">
        <v>97319.5</v>
      </c>
      <c r="I65" s="1">
        <v>104000</v>
      </c>
      <c r="J65">
        <v>95000</v>
      </c>
      <c r="K65" s="38">
        <v>1.0005059136605561</v>
      </c>
    </row>
    <row r="66" spans="2:11" x14ac:dyDescent="0.3">
      <c r="B66" t="s">
        <v>63</v>
      </c>
      <c r="C66" s="2" t="s">
        <v>366</v>
      </c>
      <c r="D66" s="1">
        <v>90</v>
      </c>
      <c r="E66" s="1">
        <v>103340.7</v>
      </c>
      <c r="F66" s="1">
        <v>107349.75</v>
      </c>
      <c r="G66" s="1">
        <v>108640</v>
      </c>
      <c r="H66" s="1">
        <v>110422.25</v>
      </c>
      <c r="I66" s="1">
        <v>114067.90000000001</v>
      </c>
      <c r="J66">
        <v>118000</v>
      </c>
      <c r="K66" s="38">
        <v>0.92575514719000884</v>
      </c>
    </row>
    <row r="67" spans="2:11" x14ac:dyDescent="0.3">
      <c r="B67" t="s">
        <v>64</v>
      </c>
      <c r="C67" s="2" t="s">
        <v>366</v>
      </c>
      <c r="D67" s="1">
        <v>85</v>
      </c>
      <c r="E67" s="1">
        <v>123492</v>
      </c>
      <c r="F67" s="1">
        <v>129050</v>
      </c>
      <c r="G67" s="1">
        <v>134215</v>
      </c>
      <c r="H67" s="1">
        <v>140236</v>
      </c>
      <c r="I67" s="1">
        <v>146484.00000000003</v>
      </c>
      <c r="J67">
        <v>146000</v>
      </c>
      <c r="K67" s="38">
        <v>0.92768331074646537</v>
      </c>
    </row>
    <row r="68" spans="2:11" x14ac:dyDescent="0.3">
      <c r="B68" t="s">
        <v>65</v>
      </c>
      <c r="C68" s="2" t="s">
        <v>366</v>
      </c>
      <c r="D68" s="1">
        <v>111</v>
      </c>
      <c r="E68" s="1">
        <v>161545</v>
      </c>
      <c r="F68" s="1">
        <v>167582</v>
      </c>
      <c r="G68" s="1">
        <v>172317</v>
      </c>
      <c r="H68" s="1">
        <v>180914</v>
      </c>
      <c r="I68" s="1">
        <v>190000</v>
      </c>
      <c r="J68">
        <v>180000</v>
      </c>
      <c r="K68" s="38">
        <v>0.97024917529330545</v>
      </c>
    </row>
    <row r="69" spans="2:11" x14ac:dyDescent="0.3">
      <c r="B69" t="s">
        <v>66</v>
      </c>
      <c r="C69" s="2" t="s">
        <v>366</v>
      </c>
      <c r="D69" s="1">
        <v>49</v>
      </c>
      <c r="E69" s="1">
        <v>201517</v>
      </c>
      <c r="F69" s="1">
        <v>203979</v>
      </c>
      <c r="G69" s="1">
        <v>215000</v>
      </c>
      <c r="H69" s="1">
        <v>228845</v>
      </c>
      <c r="I69" s="1">
        <v>237004.2</v>
      </c>
      <c r="J69">
        <v>215000</v>
      </c>
      <c r="K69" s="38">
        <v>1.0140966164787832</v>
      </c>
    </row>
    <row r="70" spans="2:11" x14ac:dyDescent="0.3">
      <c r="B70" t="s">
        <v>67</v>
      </c>
      <c r="C70" s="2" t="s">
        <v>366</v>
      </c>
      <c r="D70" s="1">
        <v>8</v>
      </c>
      <c r="E70" s="1">
        <v>237379.1</v>
      </c>
      <c r="F70" s="1">
        <v>238963.25</v>
      </c>
      <c r="G70" s="1">
        <v>245341</v>
      </c>
      <c r="H70" s="1">
        <v>268719.25</v>
      </c>
      <c r="I70" s="1">
        <v>316815.7</v>
      </c>
      <c r="J70">
        <v>259000</v>
      </c>
      <c r="K70" s="38">
        <v>1.0351904755257026</v>
      </c>
    </row>
    <row r="71" spans="2:11" x14ac:dyDescent="0.3">
      <c r="B71" t="s">
        <v>68</v>
      </c>
      <c r="C71" s="2" t="s">
        <v>366</v>
      </c>
      <c r="D71" s="1">
        <v>6</v>
      </c>
      <c r="E71" s="1">
        <v>87377</v>
      </c>
      <c r="F71" s="1">
        <v>89261.75</v>
      </c>
      <c r="G71" s="1">
        <v>92609</v>
      </c>
      <c r="H71" s="1">
        <v>95342.75</v>
      </c>
      <c r="I71" s="1">
        <v>96496</v>
      </c>
      <c r="J71">
        <v>93000</v>
      </c>
      <c r="K71" s="38">
        <v>1.0166935483870969</v>
      </c>
    </row>
    <row r="72" spans="2:11" x14ac:dyDescent="0.3">
      <c r="B72" t="s">
        <v>69</v>
      </c>
      <c r="C72" s="2" t="s">
        <v>366</v>
      </c>
      <c r="D72" s="1">
        <v>21</v>
      </c>
      <c r="E72" s="1">
        <v>106811</v>
      </c>
      <c r="F72" s="1">
        <v>109329</v>
      </c>
      <c r="G72" s="1">
        <v>109646</v>
      </c>
      <c r="H72" s="1">
        <v>109720</v>
      </c>
      <c r="I72" s="1">
        <v>116027</v>
      </c>
      <c r="J72">
        <v>116000</v>
      </c>
      <c r="K72" s="38">
        <v>0.94685462382445162</v>
      </c>
    </row>
    <row r="73" spans="2:11" x14ac:dyDescent="0.3">
      <c r="B73" t="s">
        <v>70</v>
      </c>
      <c r="C73" s="2" t="s">
        <v>366</v>
      </c>
      <c r="D73" s="1">
        <v>12</v>
      </c>
      <c r="E73" s="1">
        <v>125631</v>
      </c>
      <c r="F73" s="1">
        <v>125904.75</v>
      </c>
      <c r="G73" s="1">
        <v>137214</v>
      </c>
      <c r="H73" s="1">
        <v>145782</v>
      </c>
      <c r="I73" s="1">
        <v>147957.29999999999</v>
      </c>
      <c r="J73">
        <v>141000</v>
      </c>
      <c r="K73" s="38">
        <v>0.96943371522094912</v>
      </c>
    </row>
    <row r="74" spans="2:11" x14ac:dyDescent="0.3">
      <c r="B74" t="s">
        <v>71</v>
      </c>
      <c r="C74" s="2" t="s">
        <v>366</v>
      </c>
      <c r="D74" s="1">
        <v>24</v>
      </c>
      <c r="E74" s="1">
        <v>152859.5</v>
      </c>
      <c r="F74" s="1">
        <v>162073.75</v>
      </c>
      <c r="G74" s="1">
        <v>171274.5</v>
      </c>
      <c r="H74" s="1">
        <v>182242.5</v>
      </c>
      <c r="I74" s="1">
        <v>185729</v>
      </c>
      <c r="J74">
        <v>172000</v>
      </c>
      <c r="K74" s="38">
        <v>0.9950765503875969</v>
      </c>
    </row>
    <row r="75" spans="2:11" x14ac:dyDescent="0.3">
      <c r="B75" t="s">
        <v>72</v>
      </c>
      <c r="C75" s="2" t="s">
        <v>366</v>
      </c>
      <c r="D75" s="1">
        <v>8</v>
      </c>
      <c r="E75" s="1">
        <v>193307.6</v>
      </c>
      <c r="F75" s="1">
        <v>203262.5</v>
      </c>
      <c r="G75" s="1">
        <v>212564</v>
      </c>
      <c r="H75" s="1">
        <v>225460.75</v>
      </c>
      <c r="I75" s="1">
        <v>238205.5</v>
      </c>
      <c r="J75">
        <v>208000</v>
      </c>
      <c r="K75" s="38">
        <v>1.0315510817307691</v>
      </c>
    </row>
    <row r="76" spans="2:11" x14ac:dyDescent="0.3">
      <c r="B76" t="s">
        <v>73</v>
      </c>
      <c r="C76" s="2" t="s">
        <v>366</v>
      </c>
      <c r="D76" s="1">
        <v>17</v>
      </c>
      <c r="E76" s="1">
        <v>103500</v>
      </c>
      <c r="F76" s="1">
        <v>106600</v>
      </c>
      <c r="G76" s="1">
        <v>108630</v>
      </c>
      <c r="H76" s="1">
        <v>108730</v>
      </c>
      <c r="I76" s="1">
        <v>108989.2</v>
      </c>
      <c r="J76">
        <v>116000</v>
      </c>
      <c r="K76" s="38">
        <v>0.9251009127789046</v>
      </c>
    </row>
    <row r="77" spans="2:11" x14ac:dyDescent="0.3">
      <c r="B77" t="s">
        <v>74</v>
      </c>
      <c r="C77" s="2" t="s">
        <v>366</v>
      </c>
      <c r="D77" s="1">
        <v>6</v>
      </c>
      <c r="E77" s="1">
        <v>129131</v>
      </c>
      <c r="F77" s="1">
        <v>131134</v>
      </c>
      <c r="G77" s="1">
        <v>132287</v>
      </c>
      <c r="H77" s="1">
        <v>132668.25</v>
      </c>
      <c r="I77" s="1">
        <v>137791.5</v>
      </c>
      <c r="J77">
        <v>141000</v>
      </c>
      <c r="K77" s="38">
        <v>0.95165815602836867</v>
      </c>
    </row>
    <row r="78" spans="2:11" x14ac:dyDescent="0.3">
      <c r="B78" t="s">
        <v>75</v>
      </c>
      <c r="C78" s="2" t="s">
        <v>366</v>
      </c>
      <c r="D78" s="1">
        <v>12</v>
      </c>
      <c r="E78" s="1">
        <v>153093.6</v>
      </c>
      <c r="F78" s="1">
        <v>176769</v>
      </c>
      <c r="G78" s="1">
        <v>185675</v>
      </c>
      <c r="H78" s="1">
        <v>191575</v>
      </c>
      <c r="I78" s="1">
        <v>200770</v>
      </c>
      <c r="J78">
        <v>172000</v>
      </c>
      <c r="K78" s="38">
        <v>1.0582916666666666</v>
      </c>
    </row>
    <row r="79" spans="2:11" x14ac:dyDescent="0.3">
      <c r="B79" t="s">
        <v>76</v>
      </c>
      <c r="C79" s="2" t="s">
        <v>366</v>
      </c>
      <c r="D79" s="1">
        <v>10</v>
      </c>
      <c r="E79" s="1">
        <v>199388</v>
      </c>
      <c r="F79" s="1">
        <v>204161</v>
      </c>
      <c r="G79" s="1">
        <v>213482.5</v>
      </c>
      <c r="H79" s="1">
        <v>229724.75</v>
      </c>
      <c r="I79" s="1">
        <v>231111</v>
      </c>
      <c r="J79">
        <v>208000</v>
      </c>
      <c r="K79" s="38">
        <v>1.0399298076923078</v>
      </c>
    </row>
    <row r="80" spans="2:11" x14ac:dyDescent="0.3">
      <c r="B80" t="s">
        <v>77</v>
      </c>
      <c r="C80" s="2" t="s">
        <v>366</v>
      </c>
      <c r="D80" s="1">
        <v>7</v>
      </c>
      <c r="E80" s="1">
        <v>109044</v>
      </c>
      <c r="F80" s="1">
        <v>109858</v>
      </c>
      <c r="G80" s="1">
        <v>110200</v>
      </c>
      <c r="H80" s="1">
        <v>114538.5</v>
      </c>
      <c r="I80" s="1">
        <v>118034.6</v>
      </c>
      <c r="J80">
        <v>116000</v>
      </c>
      <c r="K80" s="38">
        <v>0.97037787356321836</v>
      </c>
    </row>
    <row r="81" spans="2:11" x14ac:dyDescent="0.3">
      <c r="B81" t="s">
        <v>78</v>
      </c>
      <c r="C81" s="2" t="s">
        <v>366</v>
      </c>
      <c r="D81" s="1">
        <v>9</v>
      </c>
      <c r="E81" s="1">
        <v>133854.79999999999</v>
      </c>
      <c r="F81" s="1">
        <v>134000</v>
      </c>
      <c r="G81" s="1">
        <v>135960</v>
      </c>
      <c r="H81" s="1">
        <v>139770</v>
      </c>
      <c r="I81" s="1">
        <v>140844.6</v>
      </c>
      <c r="J81">
        <v>141000</v>
      </c>
      <c r="K81" s="38">
        <v>0.98194539007092208</v>
      </c>
    </row>
    <row r="82" spans="2:11" x14ac:dyDescent="0.3">
      <c r="B82" t="s">
        <v>79</v>
      </c>
      <c r="C82" s="2" t="s">
        <v>366</v>
      </c>
      <c r="D82" s="1">
        <v>15</v>
      </c>
      <c r="E82" s="1">
        <v>164080</v>
      </c>
      <c r="F82" s="1">
        <v>167599</v>
      </c>
      <c r="G82" s="1">
        <v>170687</v>
      </c>
      <c r="H82" s="1">
        <v>177062</v>
      </c>
      <c r="I82" s="1">
        <v>179365.2</v>
      </c>
      <c r="J82">
        <v>172000</v>
      </c>
      <c r="K82" s="38">
        <v>0.99887333887043184</v>
      </c>
    </row>
    <row r="83" spans="2:11" x14ac:dyDescent="0.3">
      <c r="B83" t="s">
        <v>80</v>
      </c>
      <c r="C83" s="2" t="s">
        <v>366</v>
      </c>
      <c r="D83" s="1">
        <v>19</v>
      </c>
      <c r="E83" s="1">
        <v>197600</v>
      </c>
      <c r="F83" s="1">
        <v>198848</v>
      </c>
      <c r="G83" s="1">
        <v>203733</v>
      </c>
      <c r="H83" s="1">
        <v>222467.5</v>
      </c>
      <c r="I83" s="1">
        <v>229122</v>
      </c>
      <c r="J83">
        <v>208000</v>
      </c>
      <c r="K83" s="38">
        <v>1.0105240384615386</v>
      </c>
    </row>
    <row r="84" spans="2:11" x14ac:dyDescent="0.3">
      <c r="B84" t="s">
        <v>81</v>
      </c>
      <c r="C84" s="2" t="s">
        <v>366</v>
      </c>
      <c r="D84" s="1">
        <v>5</v>
      </c>
      <c r="E84" s="1">
        <v>234334.6</v>
      </c>
      <c r="F84" s="1">
        <v>246283</v>
      </c>
      <c r="G84" s="1">
        <v>258000</v>
      </c>
      <c r="H84" s="1">
        <v>261474</v>
      </c>
      <c r="I84" s="1">
        <v>263241.59999999998</v>
      </c>
      <c r="J84">
        <v>248000</v>
      </c>
      <c r="K84" s="38">
        <v>1.0133435483870969</v>
      </c>
    </row>
    <row r="85" spans="2:11" x14ac:dyDescent="0.3">
      <c r="B85" t="s">
        <v>82</v>
      </c>
      <c r="C85" s="2" t="s">
        <v>367</v>
      </c>
      <c r="D85" s="1">
        <v>5</v>
      </c>
      <c r="E85" s="1">
        <v>70049</v>
      </c>
      <c r="F85" s="1">
        <v>70049</v>
      </c>
      <c r="G85" s="1">
        <v>71094</v>
      </c>
      <c r="H85" s="1">
        <v>71792</v>
      </c>
      <c r="I85" s="1">
        <v>74402</v>
      </c>
      <c r="J85">
        <v>67000</v>
      </c>
      <c r="K85" s="38">
        <v>1.0720179104477612</v>
      </c>
    </row>
    <row r="86" spans="2:11" x14ac:dyDescent="0.3">
      <c r="B86" t="s">
        <v>83</v>
      </c>
      <c r="C86" s="2" t="s">
        <v>367</v>
      </c>
      <c r="D86" s="1">
        <v>5</v>
      </c>
      <c r="E86" s="1">
        <v>90986</v>
      </c>
      <c r="F86" s="1">
        <v>100781</v>
      </c>
      <c r="G86" s="1">
        <v>100878</v>
      </c>
      <c r="H86" s="1">
        <v>101053</v>
      </c>
      <c r="I86" s="1">
        <v>109471.59999999999</v>
      </c>
      <c r="J86">
        <v>81000</v>
      </c>
      <c r="K86" s="38">
        <v>1.2401283950617283</v>
      </c>
    </row>
    <row r="87" spans="2:11" x14ac:dyDescent="0.3">
      <c r="B87" t="s">
        <v>84</v>
      </c>
      <c r="C87" s="2" t="s">
        <v>367</v>
      </c>
      <c r="D87" s="1">
        <v>6</v>
      </c>
      <c r="E87" s="1">
        <v>81600</v>
      </c>
      <c r="F87" s="1">
        <v>82632.75</v>
      </c>
      <c r="G87" s="1">
        <v>87074.5</v>
      </c>
      <c r="H87" s="1">
        <v>103563.5</v>
      </c>
      <c r="I87" s="1">
        <v>122498</v>
      </c>
      <c r="J87">
        <v>81000</v>
      </c>
      <c r="K87" s="38">
        <v>1.1982407407407407</v>
      </c>
    </row>
    <row r="88" spans="2:11" x14ac:dyDescent="0.3">
      <c r="B88" t="s">
        <v>85</v>
      </c>
      <c r="C88" s="2" t="s">
        <v>367</v>
      </c>
      <c r="D88" s="1">
        <v>5</v>
      </c>
      <c r="E88" s="1">
        <v>118156</v>
      </c>
      <c r="F88" s="1">
        <v>128773</v>
      </c>
      <c r="G88" s="1">
        <v>134691</v>
      </c>
      <c r="H88" s="1">
        <v>141160</v>
      </c>
      <c r="I88" s="1">
        <v>149416</v>
      </c>
      <c r="J88">
        <v>123000</v>
      </c>
      <c r="K88" s="38">
        <v>1.0904422764227644</v>
      </c>
    </row>
    <row r="89" spans="2:11" x14ac:dyDescent="0.3">
      <c r="B89" t="s">
        <v>86</v>
      </c>
      <c r="C89" s="2" t="s">
        <v>367</v>
      </c>
      <c r="D89" s="1">
        <v>5</v>
      </c>
      <c r="E89" s="1">
        <v>108147.6</v>
      </c>
      <c r="F89" s="1">
        <v>122724</v>
      </c>
      <c r="G89" s="1">
        <v>123665</v>
      </c>
      <c r="H89" s="1">
        <v>124858</v>
      </c>
      <c r="I89" s="1">
        <v>128305.59999999999</v>
      </c>
      <c r="J89">
        <v>102000</v>
      </c>
      <c r="K89" s="38">
        <v>1.1770215686274508</v>
      </c>
    </row>
    <row r="90" spans="2:11" x14ac:dyDescent="0.3">
      <c r="B90" t="s">
        <v>87</v>
      </c>
      <c r="C90" s="2" t="s">
        <v>367</v>
      </c>
      <c r="D90" s="1">
        <v>7</v>
      </c>
      <c r="E90" s="1">
        <v>71952</v>
      </c>
      <c r="F90" s="1">
        <v>73322</v>
      </c>
      <c r="G90" s="1">
        <v>74460</v>
      </c>
      <c r="H90" s="1">
        <v>74985</v>
      </c>
      <c r="I90" s="1">
        <v>75967.199999999997</v>
      </c>
      <c r="J90">
        <v>67000</v>
      </c>
      <c r="K90" s="38">
        <v>1.121731343283582</v>
      </c>
    </row>
    <row r="91" spans="2:11" x14ac:dyDescent="0.3">
      <c r="B91" t="s">
        <v>88</v>
      </c>
      <c r="C91" s="2" t="s">
        <v>367</v>
      </c>
      <c r="D91" s="1">
        <v>5</v>
      </c>
      <c r="E91" s="1">
        <v>82146</v>
      </c>
      <c r="F91" s="1">
        <v>82365</v>
      </c>
      <c r="G91" s="1">
        <v>82620</v>
      </c>
      <c r="H91" s="1">
        <v>83130</v>
      </c>
      <c r="I91" s="1">
        <v>86496</v>
      </c>
      <c r="J91">
        <v>81000</v>
      </c>
      <c r="K91" s="38">
        <v>1.0351111111111113</v>
      </c>
    </row>
    <row r="92" spans="2:11" x14ac:dyDescent="0.3">
      <c r="B92" t="s">
        <v>89</v>
      </c>
      <c r="C92" s="2" t="s">
        <v>367</v>
      </c>
      <c r="D92" s="1">
        <v>19</v>
      </c>
      <c r="E92" s="1">
        <v>104550</v>
      </c>
      <c r="F92" s="1">
        <v>114107</v>
      </c>
      <c r="G92" s="1">
        <v>122638</v>
      </c>
      <c r="H92" s="1">
        <v>126542.5</v>
      </c>
      <c r="I92" s="1">
        <v>130237.2</v>
      </c>
      <c r="J92">
        <v>102000</v>
      </c>
      <c r="K92" s="38">
        <v>1.1860407636738906</v>
      </c>
    </row>
    <row r="93" spans="2:11" x14ac:dyDescent="0.3">
      <c r="B93" t="s">
        <v>90</v>
      </c>
      <c r="C93" s="2" t="s">
        <v>366</v>
      </c>
      <c r="D93" s="1">
        <v>18</v>
      </c>
      <c r="E93" s="1">
        <v>105442.3</v>
      </c>
      <c r="F93" s="1">
        <v>108399.5</v>
      </c>
      <c r="G93" s="1">
        <v>109659.5</v>
      </c>
      <c r="H93" s="1">
        <v>110944.75</v>
      </c>
      <c r="I93" s="1">
        <v>112196.3</v>
      </c>
      <c r="J93">
        <v>107000</v>
      </c>
      <c r="K93" s="38">
        <v>1.0176856861780619</v>
      </c>
    </row>
    <row r="94" spans="2:11" x14ac:dyDescent="0.3">
      <c r="B94" t="s">
        <v>91</v>
      </c>
      <c r="C94" s="2" t="s">
        <v>366</v>
      </c>
      <c r="D94" s="1">
        <v>12</v>
      </c>
      <c r="E94" s="1">
        <v>127194</v>
      </c>
      <c r="F94" s="1">
        <v>130672.5</v>
      </c>
      <c r="G94" s="1">
        <v>133839.5</v>
      </c>
      <c r="H94" s="1">
        <v>134425</v>
      </c>
      <c r="I94" s="1">
        <v>135664.9</v>
      </c>
      <c r="J94">
        <v>131000</v>
      </c>
      <c r="K94" s="38">
        <v>1.0151242192921581</v>
      </c>
    </row>
    <row r="95" spans="2:11" x14ac:dyDescent="0.3">
      <c r="B95" t="s">
        <v>92</v>
      </c>
      <c r="C95" s="2" t="s">
        <v>366</v>
      </c>
      <c r="D95" s="1">
        <v>38</v>
      </c>
      <c r="E95" s="1">
        <v>162195.20000000001</v>
      </c>
      <c r="F95" s="1">
        <v>167342.75</v>
      </c>
      <c r="G95" s="1">
        <v>175747</v>
      </c>
      <c r="H95" s="1">
        <v>183067.25</v>
      </c>
      <c r="I95" s="1">
        <v>191379.4</v>
      </c>
      <c r="J95">
        <v>159000</v>
      </c>
      <c r="K95" s="38">
        <v>1.1074150943396226</v>
      </c>
    </row>
    <row r="96" spans="2:11" x14ac:dyDescent="0.3">
      <c r="B96" t="s">
        <v>93</v>
      </c>
      <c r="C96" s="2" t="s">
        <v>366</v>
      </c>
      <c r="D96" s="1">
        <v>13</v>
      </c>
      <c r="E96" s="1">
        <v>196095.4</v>
      </c>
      <c r="F96" s="1">
        <v>199658</v>
      </c>
      <c r="G96" s="1">
        <v>200732</v>
      </c>
      <c r="H96" s="1">
        <v>215596</v>
      </c>
      <c r="I96" s="1">
        <v>220211</v>
      </c>
      <c r="J96">
        <v>195000</v>
      </c>
      <c r="K96" s="38">
        <v>1.0563904761904761</v>
      </c>
    </row>
    <row r="97" spans="2:11" x14ac:dyDescent="0.3">
      <c r="B97" t="s">
        <v>94</v>
      </c>
      <c r="C97" s="2" t="s">
        <v>366</v>
      </c>
      <c r="D97" s="1">
        <v>6</v>
      </c>
      <c r="E97" s="1">
        <v>85899.5</v>
      </c>
      <c r="F97" s="1">
        <v>88048</v>
      </c>
      <c r="G97" s="1">
        <v>91990</v>
      </c>
      <c r="H97" s="1">
        <v>99328.75</v>
      </c>
      <c r="I97" s="1">
        <v>101702.5</v>
      </c>
      <c r="J97">
        <v>93000</v>
      </c>
      <c r="K97" s="38">
        <v>1.0021218637992833</v>
      </c>
    </row>
    <row r="98" spans="2:11" x14ac:dyDescent="0.3">
      <c r="B98" t="s">
        <v>95</v>
      </c>
      <c r="C98" s="2" t="s">
        <v>366</v>
      </c>
      <c r="D98" s="1">
        <v>99</v>
      </c>
      <c r="E98" s="1">
        <v>103020</v>
      </c>
      <c r="F98" s="1">
        <v>106397.5</v>
      </c>
      <c r="G98" s="1">
        <v>109094</v>
      </c>
      <c r="H98" s="1">
        <v>112498</v>
      </c>
      <c r="I98" s="1">
        <v>117883.40000000001</v>
      </c>
      <c r="J98">
        <v>116000</v>
      </c>
      <c r="K98" s="38">
        <v>0.94494818415260473</v>
      </c>
    </row>
    <row r="99" spans="2:11" x14ac:dyDescent="0.3">
      <c r="B99" t="s">
        <v>96</v>
      </c>
      <c r="C99" s="2" t="s">
        <v>366</v>
      </c>
      <c r="D99" s="1">
        <v>172</v>
      </c>
      <c r="E99" s="1">
        <v>125894.1</v>
      </c>
      <c r="F99" s="1">
        <v>128843.75</v>
      </c>
      <c r="G99" s="1">
        <v>133950</v>
      </c>
      <c r="H99" s="1">
        <v>138753.5</v>
      </c>
      <c r="I99" s="1">
        <v>144127.70000000001</v>
      </c>
      <c r="J99">
        <v>141000</v>
      </c>
      <c r="K99" s="38">
        <v>0.95389019756838944</v>
      </c>
    </row>
    <row r="100" spans="2:11" x14ac:dyDescent="0.3">
      <c r="B100" t="s">
        <v>97</v>
      </c>
      <c r="C100" s="2" t="s">
        <v>366</v>
      </c>
      <c r="D100" s="1">
        <v>192</v>
      </c>
      <c r="E100" s="1">
        <v>156608.79999999999</v>
      </c>
      <c r="F100" s="1">
        <v>160644.75</v>
      </c>
      <c r="G100" s="1">
        <v>168363</v>
      </c>
      <c r="H100" s="1">
        <v>176568.25</v>
      </c>
      <c r="I100" s="1">
        <v>185362.2</v>
      </c>
      <c r="J100">
        <v>172000</v>
      </c>
      <c r="K100" s="38">
        <v>0.9858281324157574</v>
      </c>
    </row>
    <row r="101" spans="2:11" x14ac:dyDescent="0.3">
      <c r="B101" t="s">
        <v>98</v>
      </c>
      <c r="C101" s="2" t="s">
        <v>366</v>
      </c>
      <c r="D101" s="1">
        <v>80</v>
      </c>
      <c r="E101" s="1">
        <v>195370.7</v>
      </c>
      <c r="F101" s="1">
        <v>201505.75</v>
      </c>
      <c r="G101" s="1">
        <v>211785.5</v>
      </c>
      <c r="H101" s="1">
        <v>224143.5</v>
      </c>
      <c r="I101" s="1">
        <v>233424.90000000002</v>
      </c>
      <c r="J101">
        <v>208000</v>
      </c>
      <c r="K101" s="38">
        <v>1.0293523266856595</v>
      </c>
    </row>
    <row r="102" spans="2:11" x14ac:dyDescent="0.3">
      <c r="B102" t="s">
        <v>99</v>
      </c>
      <c r="C102" s="2" t="s">
        <v>366</v>
      </c>
      <c r="D102" s="1">
        <v>13</v>
      </c>
      <c r="E102" s="1">
        <v>243310.6</v>
      </c>
      <c r="F102" s="1">
        <v>257156</v>
      </c>
      <c r="G102" s="1">
        <v>262448</v>
      </c>
      <c r="H102" s="1">
        <v>280063</v>
      </c>
      <c r="I102" s="1">
        <v>281316</v>
      </c>
      <c r="J102">
        <v>248000</v>
      </c>
      <c r="K102" s="38">
        <v>1.0731367866004962</v>
      </c>
    </row>
    <row r="103" spans="2:11" x14ac:dyDescent="0.3">
      <c r="B103" t="s">
        <v>100</v>
      </c>
      <c r="C103" s="2" t="s">
        <v>367</v>
      </c>
      <c r="D103" s="1">
        <v>8</v>
      </c>
      <c r="E103" s="1">
        <v>72848</v>
      </c>
      <c r="F103" s="1">
        <v>75326</v>
      </c>
      <c r="G103" s="1">
        <v>75971</v>
      </c>
      <c r="H103" s="1">
        <v>77370.5</v>
      </c>
      <c r="I103" s="1">
        <v>81114.5</v>
      </c>
      <c r="J103">
        <v>67000</v>
      </c>
      <c r="K103" s="38">
        <v>1.1439286898839136</v>
      </c>
    </row>
    <row r="104" spans="2:11" x14ac:dyDescent="0.3">
      <c r="B104" t="s">
        <v>101</v>
      </c>
      <c r="C104" s="2" t="s">
        <v>367</v>
      </c>
      <c r="D104" s="1">
        <v>49</v>
      </c>
      <c r="E104" s="1">
        <v>84906</v>
      </c>
      <c r="F104" s="1">
        <v>93845</v>
      </c>
      <c r="G104" s="1">
        <v>100073</v>
      </c>
      <c r="H104" s="1">
        <v>111930</v>
      </c>
      <c r="I104" s="1">
        <v>117340.4</v>
      </c>
      <c r="J104">
        <v>81000</v>
      </c>
      <c r="K104" s="38">
        <v>1.2610261728395062</v>
      </c>
    </row>
    <row r="105" spans="2:11" x14ac:dyDescent="0.3">
      <c r="B105" t="s">
        <v>102</v>
      </c>
      <c r="C105" s="2" t="s">
        <v>367</v>
      </c>
      <c r="D105" s="1">
        <v>61</v>
      </c>
      <c r="E105" s="1">
        <v>111701</v>
      </c>
      <c r="F105" s="1">
        <v>117300</v>
      </c>
      <c r="G105" s="1">
        <v>130618</v>
      </c>
      <c r="H105" s="1">
        <v>138006</v>
      </c>
      <c r="I105" s="1">
        <v>141846</v>
      </c>
      <c r="J105">
        <v>102000</v>
      </c>
      <c r="K105" s="38">
        <v>1.2565439595192911</v>
      </c>
    </row>
    <row r="106" spans="2:11" x14ac:dyDescent="0.3">
      <c r="B106" t="s">
        <v>103</v>
      </c>
      <c r="C106" s="2" t="s">
        <v>367</v>
      </c>
      <c r="D106" s="1">
        <v>20</v>
      </c>
      <c r="E106" s="1">
        <v>144071.1</v>
      </c>
      <c r="F106" s="1">
        <v>149621.25</v>
      </c>
      <c r="G106" s="1">
        <v>154271.5</v>
      </c>
      <c r="H106" s="1">
        <v>168099.75</v>
      </c>
      <c r="I106" s="1">
        <v>180491.7</v>
      </c>
      <c r="J106">
        <v>123000</v>
      </c>
      <c r="K106" s="38">
        <v>1.2793142276422764</v>
      </c>
    </row>
    <row r="107" spans="2:11" x14ac:dyDescent="0.3">
      <c r="B107" t="s">
        <v>104</v>
      </c>
      <c r="C107" s="2" t="s">
        <v>366</v>
      </c>
      <c r="D107" s="1">
        <v>9</v>
      </c>
      <c r="E107" s="1">
        <v>91339.6</v>
      </c>
      <c r="F107" s="1">
        <v>92000</v>
      </c>
      <c r="G107" s="1">
        <v>92600</v>
      </c>
      <c r="H107" s="1">
        <v>93958</v>
      </c>
      <c r="I107" s="1">
        <v>96392</v>
      </c>
      <c r="J107">
        <v>90000</v>
      </c>
      <c r="K107" s="38">
        <v>1.0143173160173158</v>
      </c>
    </row>
    <row r="108" spans="2:11" x14ac:dyDescent="0.3">
      <c r="B108" t="s">
        <v>105</v>
      </c>
      <c r="C108" s="2" t="s">
        <v>366</v>
      </c>
      <c r="D108" s="1">
        <v>110</v>
      </c>
      <c r="E108" s="1">
        <v>101757</v>
      </c>
      <c r="F108" s="1">
        <v>104114.75</v>
      </c>
      <c r="G108" s="1">
        <v>107924.5</v>
      </c>
      <c r="H108" s="1">
        <v>112056</v>
      </c>
      <c r="I108" s="1">
        <v>114662.5</v>
      </c>
      <c r="J108">
        <v>107000</v>
      </c>
      <c r="K108" s="38">
        <v>1.0139186210544879</v>
      </c>
    </row>
    <row r="109" spans="2:11" x14ac:dyDescent="0.3">
      <c r="B109" t="s">
        <v>106</v>
      </c>
      <c r="C109" s="2" t="s">
        <v>366</v>
      </c>
      <c r="D109" s="1">
        <v>125</v>
      </c>
      <c r="E109" s="1">
        <v>124170</v>
      </c>
      <c r="F109" s="1">
        <v>131253</v>
      </c>
      <c r="G109" s="1">
        <v>138422</v>
      </c>
      <c r="H109" s="1">
        <v>145000</v>
      </c>
      <c r="I109" s="1">
        <v>152905.60000000001</v>
      </c>
      <c r="J109">
        <v>131000</v>
      </c>
      <c r="K109" s="38">
        <v>1.060233201293763</v>
      </c>
    </row>
    <row r="110" spans="2:11" x14ac:dyDescent="0.3">
      <c r="B110" t="s">
        <v>107</v>
      </c>
      <c r="C110" s="2" t="s">
        <v>366</v>
      </c>
      <c r="D110" s="1">
        <v>148</v>
      </c>
      <c r="E110" s="1">
        <v>159983.1</v>
      </c>
      <c r="F110" s="1">
        <v>166560.25</v>
      </c>
      <c r="G110" s="1">
        <v>177567</v>
      </c>
      <c r="H110" s="1">
        <v>186824.5</v>
      </c>
      <c r="I110" s="1">
        <v>195016.6</v>
      </c>
      <c r="J110">
        <v>159000</v>
      </c>
      <c r="K110" s="38">
        <v>1.1199953867501762</v>
      </c>
    </row>
    <row r="111" spans="2:11" x14ac:dyDescent="0.3">
      <c r="B111" t="s">
        <v>108</v>
      </c>
      <c r="C111" s="2" t="s">
        <v>366</v>
      </c>
      <c r="D111" s="1">
        <v>60</v>
      </c>
      <c r="E111" s="1">
        <v>199288.8</v>
      </c>
      <c r="F111" s="1">
        <v>210468.25</v>
      </c>
      <c r="G111" s="1">
        <v>219477.5</v>
      </c>
      <c r="H111" s="1">
        <v>223829.25</v>
      </c>
      <c r="I111" s="1">
        <v>230807.2</v>
      </c>
      <c r="J111">
        <v>195000</v>
      </c>
      <c r="K111" s="38">
        <v>1.1148688284393198</v>
      </c>
    </row>
    <row r="112" spans="2:11" x14ac:dyDescent="0.3">
      <c r="B112" t="s">
        <v>109</v>
      </c>
      <c r="C112" s="2" t="s">
        <v>366</v>
      </c>
      <c r="D112" s="1">
        <v>6</v>
      </c>
      <c r="E112" s="1">
        <v>237571.5</v>
      </c>
      <c r="F112" s="1">
        <v>243870</v>
      </c>
      <c r="G112" s="1">
        <v>253391</v>
      </c>
      <c r="H112" s="1">
        <v>262124.5</v>
      </c>
      <c r="I112" s="1">
        <v>264413</v>
      </c>
      <c r="J112">
        <v>238000</v>
      </c>
      <c r="K112" s="38">
        <v>1.0579488795518206</v>
      </c>
    </row>
    <row r="113" spans="2:11" x14ac:dyDescent="0.3">
      <c r="B113" t="s">
        <v>110</v>
      </c>
      <c r="C113" s="2" t="s">
        <v>366</v>
      </c>
      <c r="D113" s="1">
        <v>35</v>
      </c>
      <c r="E113" s="1">
        <v>89826.6</v>
      </c>
      <c r="F113" s="1">
        <v>90079</v>
      </c>
      <c r="G113" s="1">
        <v>92300</v>
      </c>
      <c r="H113" s="1">
        <v>94377</v>
      </c>
      <c r="I113" s="1">
        <v>95666.4</v>
      </c>
      <c r="J113">
        <v>90000</v>
      </c>
      <c r="K113" s="38">
        <v>1.032637142857143</v>
      </c>
    </row>
    <row r="114" spans="2:11" x14ac:dyDescent="0.3">
      <c r="B114" t="s">
        <v>111</v>
      </c>
      <c r="C114" s="2" t="s">
        <v>366</v>
      </c>
      <c r="D114" s="1">
        <v>247</v>
      </c>
      <c r="E114" s="1">
        <v>97780</v>
      </c>
      <c r="F114" s="1">
        <v>102448</v>
      </c>
      <c r="G114" s="1">
        <v>103533</v>
      </c>
      <c r="H114" s="1">
        <v>107737.5</v>
      </c>
      <c r="I114" s="1">
        <v>110258.4</v>
      </c>
      <c r="J114">
        <v>107000</v>
      </c>
      <c r="K114" s="38">
        <v>0.98146781944076655</v>
      </c>
    </row>
    <row r="115" spans="2:11" x14ac:dyDescent="0.3">
      <c r="B115" t="s">
        <v>112</v>
      </c>
      <c r="C115" s="2" t="s">
        <v>366</v>
      </c>
      <c r="D115" s="1">
        <v>329</v>
      </c>
      <c r="E115" s="1">
        <v>121156.6</v>
      </c>
      <c r="F115" s="1">
        <v>126708</v>
      </c>
      <c r="G115" s="1">
        <v>134668</v>
      </c>
      <c r="H115" s="1">
        <v>142902</v>
      </c>
      <c r="I115" s="1">
        <v>150510.20000000001</v>
      </c>
      <c r="J115">
        <v>131000</v>
      </c>
      <c r="K115" s="38">
        <v>1.0330491741670911</v>
      </c>
    </row>
    <row r="116" spans="2:11" x14ac:dyDescent="0.3">
      <c r="B116" t="s">
        <v>113</v>
      </c>
      <c r="C116" s="2" t="s">
        <v>366</v>
      </c>
      <c r="D116" s="1">
        <v>379</v>
      </c>
      <c r="E116" s="1">
        <v>153307.79999999999</v>
      </c>
      <c r="F116" s="1">
        <v>160470.5</v>
      </c>
      <c r="G116" s="1">
        <v>173014</v>
      </c>
      <c r="H116" s="1">
        <v>184489</v>
      </c>
      <c r="I116" s="1">
        <v>193086.4</v>
      </c>
      <c r="J116">
        <v>159000</v>
      </c>
      <c r="K116" s="38">
        <v>1.0903406577214092</v>
      </c>
    </row>
    <row r="117" spans="2:11" x14ac:dyDescent="0.3">
      <c r="B117" t="s">
        <v>114</v>
      </c>
      <c r="C117" s="2" t="s">
        <v>366</v>
      </c>
      <c r="D117" s="1">
        <v>91</v>
      </c>
      <c r="E117" s="1">
        <v>190958</v>
      </c>
      <c r="F117" s="1">
        <v>201822</v>
      </c>
      <c r="G117" s="1">
        <v>213526</v>
      </c>
      <c r="H117" s="1">
        <v>221847.5</v>
      </c>
      <c r="I117" s="1">
        <v>232254</v>
      </c>
      <c r="J117">
        <v>195000</v>
      </c>
      <c r="K117" s="38">
        <v>1.0930754305977708</v>
      </c>
    </row>
    <row r="118" spans="2:11" x14ac:dyDescent="0.3">
      <c r="B118" t="s">
        <v>115</v>
      </c>
      <c r="C118" s="2" t="s">
        <v>366</v>
      </c>
      <c r="D118" s="1">
        <v>8</v>
      </c>
      <c r="E118" s="1">
        <v>232894.6</v>
      </c>
      <c r="F118" s="1">
        <v>235984.75</v>
      </c>
      <c r="G118" s="1">
        <v>249380.5</v>
      </c>
      <c r="H118" s="1">
        <v>260835.75</v>
      </c>
      <c r="I118" s="1">
        <v>270915.59999999998</v>
      </c>
      <c r="J118">
        <v>238000</v>
      </c>
      <c r="K118" s="38">
        <v>1.0497368697478993</v>
      </c>
    </row>
    <row r="119" spans="2:11" x14ac:dyDescent="0.3">
      <c r="B119" t="s">
        <v>116</v>
      </c>
      <c r="C119" s="2" t="s">
        <v>366</v>
      </c>
      <c r="D119" s="1">
        <v>72</v>
      </c>
      <c r="E119" s="1">
        <v>91225</v>
      </c>
      <c r="F119" s="1">
        <v>92000</v>
      </c>
      <c r="G119" s="1">
        <v>93361</v>
      </c>
      <c r="H119" s="1">
        <v>94697</v>
      </c>
      <c r="I119" s="1">
        <v>95598</v>
      </c>
      <c r="J119">
        <v>90000</v>
      </c>
      <c r="K119" s="38">
        <v>1.0404336650082922</v>
      </c>
    </row>
    <row r="120" spans="2:11" x14ac:dyDescent="0.3">
      <c r="B120" t="s">
        <v>117</v>
      </c>
      <c r="C120" s="2" t="s">
        <v>366</v>
      </c>
      <c r="D120" s="1">
        <v>197</v>
      </c>
      <c r="E120" s="1">
        <v>103356.4</v>
      </c>
      <c r="F120" s="1">
        <v>106005</v>
      </c>
      <c r="G120" s="1">
        <v>107835</v>
      </c>
      <c r="H120" s="1">
        <v>109162</v>
      </c>
      <c r="I120" s="1">
        <v>112699</v>
      </c>
      <c r="J120">
        <v>107000</v>
      </c>
      <c r="K120" s="38">
        <v>1.0142574520413181</v>
      </c>
    </row>
    <row r="121" spans="2:11" x14ac:dyDescent="0.3">
      <c r="B121" t="s">
        <v>118</v>
      </c>
      <c r="C121" s="2" t="s">
        <v>366</v>
      </c>
      <c r="D121" s="1">
        <v>302</v>
      </c>
      <c r="E121" s="1">
        <v>131892.9</v>
      </c>
      <c r="F121" s="1">
        <v>135008</v>
      </c>
      <c r="G121" s="1">
        <v>140798</v>
      </c>
      <c r="H121" s="1">
        <v>147381</v>
      </c>
      <c r="I121" s="1">
        <v>154992.40000000002</v>
      </c>
      <c r="J121">
        <v>131000</v>
      </c>
      <c r="K121" s="38">
        <v>1.0845136066223848</v>
      </c>
    </row>
    <row r="122" spans="2:11" x14ac:dyDescent="0.3">
      <c r="B122" t="s">
        <v>119</v>
      </c>
      <c r="C122" s="2" t="s">
        <v>366</v>
      </c>
      <c r="D122" s="1">
        <v>401</v>
      </c>
      <c r="E122" s="1">
        <v>161710</v>
      </c>
      <c r="F122" s="1">
        <v>167908</v>
      </c>
      <c r="G122" s="1">
        <v>176654</v>
      </c>
      <c r="H122" s="1">
        <v>186723</v>
      </c>
      <c r="I122" s="1">
        <v>193873</v>
      </c>
      <c r="J122">
        <v>159000</v>
      </c>
      <c r="K122" s="38">
        <v>1.1173015224244729</v>
      </c>
    </row>
    <row r="123" spans="2:11" x14ac:dyDescent="0.3">
      <c r="B123" t="s">
        <v>120</v>
      </c>
      <c r="C123" s="2" t="s">
        <v>366</v>
      </c>
      <c r="D123" s="1">
        <v>143</v>
      </c>
      <c r="E123" s="1">
        <v>201587.20000000001</v>
      </c>
      <c r="F123" s="1">
        <v>207271.5</v>
      </c>
      <c r="G123" s="1">
        <v>213467</v>
      </c>
      <c r="H123" s="1">
        <v>227977.5</v>
      </c>
      <c r="I123" s="1">
        <v>232740</v>
      </c>
      <c r="J123">
        <v>195000</v>
      </c>
      <c r="K123" s="38">
        <v>1.109957135278514</v>
      </c>
    </row>
    <row r="124" spans="2:11" x14ac:dyDescent="0.3">
      <c r="B124" t="s">
        <v>121</v>
      </c>
      <c r="C124" s="2" t="s">
        <v>366</v>
      </c>
      <c r="D124" s="1">
        <v>20</v>
      </c>
      <c r="E124" s="1">
        <v>239652</v>
      </c>
      <c r="F124" s="1">
        <v>249637.25</v>
      </c>
      <c r="G124" s="1">
        <v>263823</v>
      </c>
      <c r="H124" s="1">
        <v>274449</v>
      </c>
      <c r="I124" s="1">
        <v>275306.8</v>
      </c>
      <c r="J124">
        <v>238000</v>
      </c>
      <c r="K124" s="38">
        <v>1.0988075230092038</v>
      </c>
    </row>
    <row r="125" spans="2:11" x14ac:dyDescent="0.3">
      <c r="B125" t="s">
        <v>122</v>
      </c>
      <c r="C125" s="2" t="s">
        <v>367</v>
      </c>
      <c r="D125" s="1">
        <v>11</v>
      </c>
      <c r="E125" s="1">
        <v>72140</v>
      </c>
      <c r="F125" s="1">
        <v>72140</v>
      </c>
      <c r="G125" s="1">
        <v>73185</v>
      </c>
      <c r="H125" s="1">
        <v>76844.5</v>
      </c>
      <c r="I125" s="1">
        <v>80504</v>
      </c>
      <c r="J125">
        <v>72000</v>
      </c>
      <c r="K125" s="38">
        <v>1.0325520833333333</v>
      </c>
    </row>
    <row r="126" spans="2:11" x14ac:dyDescent="0.3">
      <c r="B126" t="s">
        <v>123</v>
      </c>
      <c r="C126" s="2" t="s">
        <v>367</v>
      </c>
      <c r="D126" s="1">
        <v>94</v>
      </c>
      <c r="E126" s="1">
        <v>89913</v>
      </c>
      <c r="F126" s="1">
        <v>102460.5</v>
      </c>
      <c r="G126" s="1">
        <v>108774</v>
      </c>
      <c r="H126" s="1">
        <v>113397.25</v>
      </c>
      <c r="I126" s="1">
        <v>117845.3</v>
      </c>
      <c r="J126">
        <v>87000</v>
      </c>
      <c r="K126" s="38">
        <v>1.2429035539701414</v>
      </c>
    </row>
    <row r="127" spans="2:11" x14ac:dyDescent="0.3">
      <c r="B127" t="s">
        <v>124</v>
      </c>
      <c r="C127" s="2" t="s">
        <v>367</v>
      </c>
      <c r="D127" s="1">
        <v>236</v>
      </c>
      <c r="E127" s="1">
        <v>117300</v>
      </c>
      <c r="F127" s="1">
        <v>124817.5</v>
      </c>
      <c r="G127" s="1">
        <v>134243</v>
      </c>
      <c r="H127" s="1">
        <v>141801.5</v>
      </c>
      <c r="I127" s="1">
        <v>147167.5</v>
      </c>
      <c r="J127">
        <v>103000</v>
      </c>
      <c r="K127" s="38">
        <v>1.2926397205183406</v>
      </c>
    </row>
    <row r="128" spans="2:11" x14ac:dyDescent="0.3">
      <c r="B128" t="s">
        <v>125</v>
      </c>
      <c r="C128" s="2" t="s">
        <v>367</v>
      </c>
      <c r="D128" s="1">
        <v>73</v>
      </c>
      <c r="E128" s="1">
        <v>143102</v>
      </c>
      <c r="F128" s="1">
        <v>150784</v>
      </c>
      <c r="G128" s="1">
        <v>157477</v>
      </c>
      <c r="H128" s="1">
        <v>162779</v>
      </c>
      <c r="I128" s="1">
        <v>169669.8</v>
      </c>
      <c r="J128">
        <v>123000</v>
      </c>
      <c r="K128" s="38">
        <v>1.2817562089319519</v>
      </c>
    </row>
    <row r="129" spans="2:11" x14ac:dyDescent="0.3">
      <c r="B129" t="s">
        <v>126</v>
      </c>
      <c r="C129" s="2" t="s">
        <v>367</v>
      </c>
      <c r="D129" s="1">
        <v>14</v>
      </c>
      <c r="E129" s="1">
        <v>71400</v>
      </c>
      <c r="F129" s="1">
        <v>71420</v>
      </c>
      <c r="G129" s="1">
        <v>72140</v>
      </c>
      <c r="H129" s="1">
        <v>74115.75</v>
      </c>
      <c r="I129" s="1">
        <v>75815.899999999994</v>
      </c>
      <c r="J129">
        <v>67000</v>
      </c>
      <c r="K129" s="38">
        <v>1.1019999999999999</v>
      </c>
    </row>
    <row r="130" spans="2:11" x14ac:dyDescent="0.3">
      <c r="B130" t="s">
        <v>127</v>
      </c>
      <c r="C130" s="2" t="s">
        <v>367</v>
      </c>
      <c r="D130" s="1">
        <v>15</v>
      </c>
      <c r="E130" s="1">
        <v>82905.600000000006</v>
      </c>
      <c r="F130" s="1">
        <v>84163</v>
      </c>
      <c r="G130" s="1">
        <v>90000</v>
      </c>
      <c r="H130" s="1">
        <v>104517.5</v>
      </c>
      <c r="I130" s="1">
        <v>113753.59999999999</v>
      </c>
      <c r="J130">
        <v>81000</v>
      </c>
      <c r="K130" s="38">
        <v>1.1605432098765431</v>
      </c>
    </row>
    <row r="131" spans="2:11" x14ac:dyDescent="0.3">
      <c r="B131" t="s">
        <v>128</v>
      </c>
      <c r="C131" s="2" t="s">
        <v>367</v>
      </c>
      <c r="D131" s="1">
        <v>6</v>
      </c>
      <c r="E131" s="1">
        <v>118677.5</v>
      </c>
      <c r="F131" s="1">
        <v>120142.75</v>
      </c>
      <c r="G131" s="1">
        <v>121566.5</v>
      </c>
      <c r="H131" s="1">
        <v>123842.25</v>
      </c>
      <c r="I131" s="1">
        <v>132296.5</v>
      </c>
      <c r="J131">
        <v>102000</v>
      </c>
      <c r="K131" s="38">
        <v>1.1864333333333335</v>
      </c>
    </row>
    <row r="132" spans="2:11" x14ac:dyDescent="0.3">
      <c r="B132" t="s">
        <v>129</v>
      </c>
      <c r="C132" s="2" t="s">
        <v>367</v>
      </c>
      <c r="D132" s="1">
        <v>11</v>
      </c>
      <c r="E132" s="1">
        <v>91800</v>
      </c>
      <c r="F132" s="1">
        <v>97995</v>
      </c>
      <c r="G132" s="1">
        <v>110775</v>
      </c>
      <c r="H132" s="1">
        <v>114408</v>
      </c>
      <c r="I132" s="1">
        <v>117564</v>
      </c>
      <c r="J132">
        <v>86000</v>
      </c>
      <c r="K132" s="38">
        <v>1.2588403805496831</v>
      </c>
    </row>
    <row r="133" spans="2:11" x14ac:dyDescent="0.3">
      <c r="B133" t="s">
        <v>130</v>
      </c>
      <c r="C133" s="2" t="s">
        <v>367</v>
      </c>
      <c r="D133" s="1">
        <v>5</v>
      </c>
      <c r="E133" s="1">
        <v>115860</v>
      </c>
      <c r="F133" s="1">
        <v>120360</v>
      </c>
      <c r="G133" s="1">
        <v>127500</v>
      </c>
      <c r="H133" s="1">
        <v>132813</v>
      </c>
      <c r="I133" s="1">
        <v>145140.6</v>
      </c>
      <c r="J133">
        <v>104000</v>
      </c>
      <c r="K133" s="38">
        <v>1.2440230769230769</v>
      </c>
    </row>
    <row r="134" spans="2:11" x14ac:dyDescent="0.3">
      <c r="B134" t="s">
        <v>131</v>
      </c>
      <c r="C134" s="2" t="s">
        <v>366</v>
      </c>
      <c r="D134" s="1">
        <v>36</v>
      </c>
      <c r="E134" s="1">
        <v>87000</v>
      </c>
      <c r="F134" s="1">
        <v>88740</v>
      </c>
      <c r="G134" s="1">
        <v>89175</v>
      </c>
      <c r="H134" s="1">
        <v>91800</v>
      </c>
      <c r="I134" s="1">
        <v>94226.5</v>
      </c>
      <c r="J134">
        <v>90000</v>
      </c>
      <c r="K134" s="38">
        <v>1.0056965811965815</v>
      </c>
    </row>
    <row r="135" spans="2:11" x14ac:dyDescent="0.3">
      <c r="B135" t="s">
        <v>132</v>
      </c>
      <c r="C135" s="2" t="s">
        <v>366</v>
      </c>
      <c r="D135" s="1">
        <v>180</v>
      </c>
      <c r="E135" s="1">
        <v>97552</v>
      </c>
      <c r="F135" s="1">
        <v>102273</v>
      </c>
      <c r="G135" s="1">
        <v>102907</v>
      </c>
      <c r="H135" s="1">
        <v>106336.25</v>
      </c>
      <c r="I135" s="1">
        <v>110696.3</v>
      </c>
      <c r="J135">
        <v>107000</v>
      </c>
      <c r="K135" s="38">
        <v>0.97176656515803839</v>
      </c>
    </row>
    <row r="136" spans="2:11" x14ac:dyDescent="0.3">
      <c r="B136" t="s">
        <v>133</v>
      </c>
      <c r="C136" s="2" t="s">
        <v>366</v>
      </c>
      <c r="D136" s="1">
        <v>161</v>
      </c>
      <c r="E136" s="1">
        <v>116133</v>
      </c>
      <c r="F136" s="1">
        <v>119116</v>
      </c>
      <c r="G136" s="1">
        <v>125383</v>
      </c>
      <c r="H136" s="1">
        <v>132940</v>
      </c>
      <c r="I136" s="1">
        <v>141348</v>
      </c>
      <c r="J136">
        <v>131000</v>
      </c>
      <c r="K136" s="38">
        <v>0.97237099671261895</v>
      </c>
    </row>
    <row r="137" spans="2:11" x14ac:dyDescent="0.3">
      <c r="B137" t="s">
        <v>134</v>
      </c>
      <c r="C137" s="2" t="s">
        <v>366</v>
      </c>
      <c r="D137" s="1">
        <v>236</v>
      </c>
      <c r="E137" s="1">
        <v>151883.5</v>
      </c>
      <c r="F137" s="1">
        <v>157531.5</v>
      </c>
      <c r="G137" s="1">
        <v>166682.5</v>
      </c>
      <c r="H137" s="1">
        <v>178001.25</v>
      </c>
      <c r="I137" s="1">
        <v>187239</v>
      </c>
      <c r="J137">
        <v>159000</v>
      </c>
      <c r="K137" s="38">
        <v>1.0573070294215052</v>
      </c>
    </row>
    <row r="138" spans="2:11" x14ac:dyDescent="0.3">
      <c r="B138" t="s">
        <v>135</v>
      </c>
      <c r="C138" s="2" t="s">
        <v>366</v>
      </c>
      <c r="D138" s="1">
        <v>65</v>
      </c>
      <c r="E138" s="1">
        <v>180151.6</v>
      </c>
      <c r="F138" s="1">
        <v>186843</v>
      </c>
      <c r="G138" s="1">
        <v>197391</v>
      </c>
      <c r="H138" s="1">
        <v>208757</v>
      </c>
      <c r="I138" s="1">
        <v>216170.4</v>
      </c>
      <c r="J138">
        <v>195000</v>
      </c>
      <c r="K138" s="38">
        <v>1.017762166405024</v>
      </c>
    </row>
    <row r="139" spans="2:11" x14ac:dyDescent="0.3">
      <c r="B139" t="s">
        <v>136</v>
      </c>
      <c r="C139" s="2" t="s">
        <v>366</v>
      </c>
      <c r="D139" s="1">
        <v>5</v>
      </c>
      <c r="E139" s="1">
        <v>236835.6</v>
      </c>
      <c r="F139" s="1">
        <v>242196</v>
      </c>
      <c r="G139" s="1">
        <v>242979</v>
      </c>
      <c r="H139" s="1">
        <v>248699</v>
      </c>
      <c r="I139" s="1">
        <v>250269.8</v>
      </c>
      <c r="J139">
        <v>238000</v>
      </c>
      <c r="K139" s="38">
        <v>1.0239100840336133</v>
      </c>
    </row>
    <row r="140" spans="2:11" x14ac:dyDescent="0.3">
      <c r="B140" t="s">
        <v>137</v>
      </c>
      <c r="C140" s="2" t="s">
        <v>367</v>
      </c>
      <c r="D140" s="1">
        <v>10</v>
      </c>
      <c r="E140" s="1">
        <v>91596</v>
      </c>
      <c r="F140" s="1">
        <v>91800</v>
      </c>
      <c r="G140" s="1">
        <v>94350</v>
      </c>
      <c r="H140" s="1">
        <v>102100</v>
      </c>
      <c r="I140" s="1">
        <v>111000</v>
      </c>
      <c r="J140">
        <v>105000</v>
      </c>
      <c r="K140" s="38">
        <v>0.91297523809523828</v>
      </c>
    </row>
    <row r="141" spans="2:11" x14ac:dyDescent="0.3">
      <c r="B141" t="s">
        <v>138</v>
      </c>
      <c r="C141" s="2" t="s">
        <v>367</v>
      </c>
      <c r="D141" s="1">
        <v>107</v>
      </c>
      <c r="E141" s="1">
        <v>111078</v>
      </c>
      <c r="F141" s="1">
        <v>111846</v>
      </c>
      <c r="G141" s="1">
        <v>116390</v>
      </c>
      <c r="H141" s="1">
        <v>125262</v>
      </c>
      <c r="I141" s="1">
        <v>132335.80000000002</v>
      </c>
      <c r="J141">
        <v>126000</v>
      </c>
      <c r="K141" s="38">
        <v>0.94306326530612306</v>
      </c>
    </row>
    <row r="142" spans="2:11" x14ac:dyDescent="0.3">
      <c r="B142" t="s">
        <v>139</v>
      </c>
      <c r="C142" s="2" t="s">
        <v>367</v>
      </c>
      <c r="D142" s="1">
        <v>92</v>
      </c>
      <c r="E142" s="1">
        <v>135894.39999999999</v>
      </c>
      <c r="F142" s="1">
        <v>139815.5</v>
      </c>
      <c r="G142" s="1">
        <v>146654</v>
      </c>
      <c r="H142" s="1">
        <v>155725.25</v>
      </c>
      <c r="I142" s="1">
        <v>161746.30000000002</v>
      </c>
      <c r="J142">
        <v>152000</v>
      </c>
      <c r="K142" s="38">
        <v>0.98279070723684236</v>
      </c>
    </row>
    <row r="143" spans="2:11" x14ac:dyDescent="0.3">
      <c r="B143" t="s">
        <v>140</v>
      </c>
      <c r="C143" s="2" t="s">
        <v>367</v>
      </c>
      <c r="D143" s="1">
        <v>6</v>
      </c>
      <c r="E143" s="1">
        <v>171633.5</v>
      </c>
      <c r="F143" s="1">
        <v>174739.5</v>
      </c>
      <c r="G143" s="1">
        <v>177609.5</v>
      </c>
      <c r="H143" s="1">
        <v>179224</v>
      </c>
      <c r="I143" s="1">
        <v>186249.5</v>
      </c>
      <c r="J143">
        <v>180000</v>
      </c>
      <c r="K143" s="38">
        <v>0.99165277777777761</v>
      </c>
    </row>
    <row r="144" spans="2:11" x14ac:dyDescent="0.3">
      <c r="B144" t="s">
        <v>141</v>
      </c>
      <c r="C144" s="2" t="s">
        <v>367</v>
      </c>
      <c r="D144" s="1">
        <v>5</v>
      </c>
      <c r="E144" s="1">
        <v>75000</v>
      </c>
      <c r="F144" s="1">
        <v>75000</v>
      </c>
      <c r="G144" s="1">
        <v>75000</v>
      </c>
      <c r="H144" s="1">
        <v>75000</v>
      </c>
      <c r="I144" s="1">
        <v>75000</v>
      </c>
      <c r="J144">
        <v>64000</v>
      </c>
      <c r="K144" s="38" t="e">
        <v>#N/A</v>
      </c>
    </row>
    <row r="145" spans="2:11" x14ac:dyDescent="0.3">
      <c r="B145" t="s">
        <v>142</v>
      </c>
      <c r="C145" s="2" t="s">
        <v>367</v>
      </c>
      <c r="D145" s="1">
        <v>55</v>
      </c>
      <c r="E145" s="1">
        <v>73683</v>
      </c>
      <c r="F145" s="1">
        <v>76500</v>
      </c>
      <c r="G145" s="1">
        <v>82000</v>
      </c>
      <c r="H145" s="1">
        <v>85379</v>
      </c>
      <c r="I145" s="1">
        <v>88444</v>
      </c>
      <c r="J145">
        <v>77000</v>
      </c>
      <c r="K145" s="38">
        <v>1.0292906617192332</v>
      </c>
    </row>
    <row r="146" spans="2:11" x14ac:dyDescent="0.3">
      <c r="B146" t="s">
        <v>143</v>
      </c>
      <c r="C146" s="2" t="s">
        <v>367</v>
      </c>
      <c r="D146" s="1">
        <v>354</v>
      </c>
      <c r="E146" s="1">
        <v>90499.7</v>
      </c>
      <c r="F146" s="1">
        <v>96007.5</v>
      </c>
      <c r="G146" s="1">
        <v>102000</v>
      </c>
      <c r="H146" s="1">
        <v>110249.75</v>
      </c>
      <c r="I146" s="1">
        <v>118539.9</v>
      </c>
      <c r="J146">
        <v>92000</v>
      </c>
      <c r="K146" s="38">
        <v>1.1240530320327118</v>
      </c>
    </row>
    <row r="147" spans="2:11" x14ac:dyDescent="0.3">
      <c r="B147" t="s">
        <v>144</v>
      </c>
      <c r="C147" s="2" t="s">
        <v>367</v>
      </c>
      <c r="D147" s="1">
        <v>248</v>
      </c>
      <c r="E147" s="1">
        <v>116959.6</v>
      </c>
      <c r="F147" s="1">
        <v>122400</v>
      </c>
      <c r="G147" s="1">
        <v>127468.5</v>
      </c>
      <c r="H147" s="1">
        <v>134708</v>
      </c>
      <c r="I147" s="1">
        <v>142262.70000000001</v>
      </c>
      <c r="J147">
        <v>110000</v>
      </c>
      <c r="K147" s="38">
        <v>1.1663988680580124</v>
      </c>
    </row>
    <row r="148" spans="2:11" x14ac:dyDescent="0.3">
      <c r="B148" t="s">
        <v>145</v>
      </c>
      <c r="C148" s="2" t="s">
        <v>367</v>
      </c>
      <c r="D148" s="1">
        <v>56</v>
      </c>
      <c r="E148" s="1">
        <v>145951.5</v>
      </c>
      <c r="F148" s="1">
        <v>150365</v>
      </c>
      <c r="G148" s="1">
        <v>155932.5</v>
      </c>
      <c r="H148" s="1">
        <v>160218.25</v>
      </c>
      <c r="I148" s="1">
        <v>173400</v>
      </c>
      <c r="J148">
        <v>133000</v>
      </c>
      <c r="K148" s="38">
        <v>1.1791948724269694</v>
      </c>
    </row>
    <row r="149" spans="2:11" x14ac:dyDescent="0.3">
      <c r="B149" t="s">
        <v>146</v>
      </c>
      <c r="C149" s="2" t="s">
        <v>366</v>
      </c>
      <c r="D149" s="1">
        <v>67</v>
      </c>
      <c r="E149" s="1">
        <v>86496</v>
      </c>
      <c r="F149" s="1">
        <v>89720</v>
      </c>
      <c r="G149" s="1">
        <v>90200</v>
      </c>
      <c r="H149" s="1">
        <v>90661</v>
      </c>
      <c r="I149" s="1">
        <v>92000</v>
      </c>
      <c r="J149">
        <v>90000</v>
      </c>
      <c r="K149" s="38">
        <v>1.0007120567375887</v>
      </c>
    </row>
    <row r="150" spans="2:11" x14ac:dyDescent="0.3">
      <c r="B150" t="s">
        <v>147</v>
      </c>
      <c r="C150" s="2" t="s">
        <v>366</v>
      </c>
      <c r="D150" s="1">
        <v>202</v>
      </c>
      <c r="E150" s="1">
        <v>99636.800000000003</v>
      </c>
      <c r="F150" s="1">
        <v>102610.75</v>
      </c>
      <c r="G150" s="1">
        <v>103264</v>
      </c>
      <c r="H150" s="1">
        <v>105871.75</v>
      </c>
      <c r="I150" s="1">
        <v>108298</v>
      </c>
      <c r="J150">
        <v>107000</v>
      </c>
      <c r="K150" s="38">
        <v>0.97073600590260689</v>
      </c>
    </row>
    <row r="151" spans="2:11" x14ac:dyDescent="0.3">
      <c r="B151" t="s">
        <v>148</v>
      </c>
      <c r="C151" s="2" t="s">
        <v>366</v>
      </c>
      <c r="D151" s="1">
        <v>235</v>
      </c>
      <c r="E151" s="1">
        <v>119016</v>
      </c>
      <c r="F151" s="1">
        <v>122002</v>
      </c>
      <c r="G151" s="1">
        <v>127080</v>
      </c>
      <c r="H151" s="1">
        <v>131000</v>
      </c>
      <c r="I151" s="1">
        <v>137663</v>
      </c>
      <c r="J151">
        <v>131000</v>
      </c>
      <c r="K151" s="38">
        <v>0.97121386506854068</v>
      </c>
    </row>
    <row r="152" spans="2:11" x14ac:dyDescent="0.3">
      <c r="B152" t="s">
        <v>149</v>
      </c>
      <c r="C152" s="2" t="s">
        <v>366</v>
      </c>
      <c r="D152" s="1">
        <v>223</v>
      </c>
      <c r="E152" s="1">
        <v>147143.6</v>
      </c>
      <c r="F152" s="1">
        <v>152333</v>
      </c>
      <c r="G152" s="1">
        <v>158105</v>
      </c>
      <c r="H152" s="1">
        <v>166469</v>
      </c>
      <c r="I152" s="1">
        <v>174988.4</v>
      </c>
      <c r="J152">
        <v>159000</v>
      </c>
      <c r="K152" s="38">
        <v>1.0097653213645807</v>
      </c>
    </row>
    <row r="153" spans="2:11" x14ac:dyDescent="0.3">
      <c r="B153" t="s">
        <v>150</v>
      </c>
      <c r="C153" s="2" t="s">
        <v>366</v>
      </c>
      <c r="D153" s="1">
        <v>60</v>
      </c>
      <c r="E153" s="1">
        <v>180265</v>
      </c>
      <c r="F153" s="1">
        <v>187256.5</v>
      </c>
      <c r="G153" s="1">
        <v>195163.5</v>
      </c>
      <c r="H153" s="1">
        <v>206128.5</v>
      </c>
      <c r="I153" s="1">
        <v>217634.5</v>
      </c>
      <c r="J153">
        <v>195000</v>
      </c>
      <c r="K153" s="38">
        <v>1.0166763925729443</v>
      </c>
    </row>
    <row r="154" spans="2:11" x14ac:dyDescent="0.3">
      <c r="B154" t="s">
        <v>151</v>
      </c>
      <c r="C154" s="2" t="s">
        <v>366</v>
      </c>
      <c r="D154" s="1">
        <v>9</v>
      </c>
      <c r="E154" s="1">
        <v>232134.8</v>
      </c>
      <c r="F154" s="1">
        <v>234293</v>
      </c>
      <c r="G154" s="1">
        <v>234480</v>
      </c>
      <c r="H154" s="1">
        <v>237072</v>
      </c>
      <c r="I154" s="1">
        <v>242383</v>
      </c>
      <c r="J154">
        <v>238000</v>
      </c>
      <c r="K154" s="38">
        <v>0.99515499533146601</v>
      </c>
    </row>
    <row r="155" spans="2:11" x14ac:dyDescent="0.3">
      <c r="B155" t="s">
        <v>152</v>
      </c>
      <c r="C155" s="2" t="s">
        <v>366</v>
      </c>
      <c r="D155" s="1">
        <v>25</v>
      </c>
      <c r="E155" s="1">
        <v>89760</v>
      </c>
      <c r="F155" s="1">
        <v>89760</v>
      </c>
      <c r="G155" s="1">
        <v>90000</v>
      </c>
      <c r="H155" s="1">
        <v>92000</v>
      </c>
      <c r="I155" s="1">
        <v>92700</v>
      </c>
      <c r="J155">
        <v>90000</v>
      </c>
      <c r="K155" s="38">
        <v>1.0076550000000002</v>
      </c>
    </row>
    <row r="156" spans="2:11" x14ac:dyDescent="0.3">
      <c r="B156" t="s">
        <v>153</v>
      </c>
      <c r="C156" s="2" t="s">
        <v>366</v>
      </c>
      <c r="D156" s="1">
        <v>123</v>
      </c>
      <c r="E156" s="1">
        <v>100024.6</v>
      </c>
      <c r="F156" s="1">
        <v>102394.5</v>
      </c>
      <c r="G156" s="1">
        <v>103002</v>
      </c>
      <c r="H156" s="1">
        <v>105817.5</v>
      </c>
      <c r="I156" s="1">
        <v>108060</v>
      </c>
      <c r="J156">
        <v>107000</v>
      </c>
      <c r="K156" s="38">
        <v>0.97172442312463758</v>
      </c>
    </row>
    <row r="157" spans="2:11" x14ac:dyDescent="0.3">
      <c r="B157" t="s">
        <v>154</v>
      </c>
      <c r="C157" s="2" t="s">
        <v>366</v>
      </c>
      <c r="D157" s="1">
        <v>143</v>
      </c>
      <c r="E157" s="1">
        <v>118288.8</v>
      </c>
      <c r="F157" s="1">
        <v>121603</v>
      </c>
      <c r="G157" s="1">
        <v>125230</v>
      </c>
      <c r="H157" s="1">
        <v>128938.5</v>
      </c>
      <c r="I157" s="1">
        <v>133735</v>
      </c>
      <c r="J157">
        <v>131000</v>
      </c>
      <c r="K157" s="38">
        <v>0.95810334258616692</v>
      </c>
    </row>
    <row r="158" spans="2:11" x14ac:dyDescent="0.3">
      <c r="B158" t="s">
        <v>155</v>
      </c>
      <c r="C158" s="2" t="s">
        <v>366</v>
      </c>
      <c r="D158" s="1">
        <v>186</v>
      </c>
      <c r="E158" s="1">
        <v>148414</v>
      </c>
      <c r="F158" s="1">
        <v>152282.5</v>
      </c>
      <c r="G158" s="1">
        <v>158230</v>
      </c>
      <c r="H158" s="1">
        <v>165730.25</v>
      </c>
      <c r="I158" s="1">
        <v>180451</v>
      </c>
      <c r="J158">
        <v>159000</v>
      </c>
      <c r="K158" s="38">
        <v>1.0104284801399119</v>
      </c>
    </row>
    <row r="159" spans="2:11" x14ac:dyDescent="0.3">
      <c r="B159" t="s">
        <v>156</v>
      </c>
      <c r="C159" s="2" t="s">
        <v>366</v>
      </c>
      <c r="D159" s="1">
        <v>55</v>
      </c>
      <c r="E159" s="1">
        <v>188326.2</v>
      </c>
      <c r="F159" s="1">
        <v>193206</v>
      </c>
      <c r="G159" s="1">
        <v>197760</v>
      </c>
      <c r="H159" s="1">
        <v>203819</v>
      </c>
      <c r="I159" s="1">
        <v>217763.20000000001</v>
      </c>
      <c r="J159">
        <v>195000</v>
      </c>
      <c r="K159" s="38">
        <v>1.0285057342657342</v>
      </c>
    </row>
    <row r="160" spans="2:11" x14ac:dyDescent="0.3">
      <c r="B160" t="s">
        <v>157</v>
      </c>
      <c r="C160" s="2" t="s">
        <v>366</v>
      </c>
      <c r="D160" s="1">
        <v>9</v>
      </c>
      <c r="E160" s="1">
        <v>226472.2</v>
      </c>
      <c r="F160" s="1">
        <v>227130</v>
      </c>
      <c r="G160" s="1">
        <v>233669</v>
      </c>
      <c r="H160" s="1">
        <v>245912</v>
      </c>
      <c r="I160" s="1">
        <v>248678.39999999999</v>
      </c>
      <c r="J160">
        <v>238000</v>
      </c>
      <c r="K160" s="38">
        <v>0.99335451680672271</v>
      </c>
    </row>
    <row r="161" spans="2:11" x14ac:dyDescent="0.3">
      <c r="B161" t="s">
        <v>158</v>
      </c>
      <c r="C161" s="2" t="s">
        <v>367</v>
      </c>
      <c r="D161" s="1">
        <v>13</v>
      </c>
      <c r="E161" s="1">
        <v>80014</v>
      </c>
      <c r="F161" s="1">
        <v>81600</v>
      </c>
      <c r="G161" s="1">
        <v>82620</v>
      </c>
      <c r="H161" s="1">
        <v>87720</v>
      </c>
      <c r="I161" s="1">
        <v>88715.199999999997</v>
      </c>
      <c r="J161">
        <v>72000</v>
      </c>
      <c r="K161" s="38">
        <v>1.1488589743589743</v>
      </c>
    </row>
    <row r="162" spans="2:11" x14ac:dyDescent="0.3">
      <c r="B162" t="s">
        <v>159</v>
      </c>
      <c r="C162" s="2" t="s">
        <v>367</v>
      </c>
      <c r="D162" s="1">
        <v>34</v>
      </c>
      <c r="E162" s="1">
        <v>97920</v>
      </c>
      <c r="F162" s="1">
        <v>99580</v>
      </c>
      <c r="G162" s="1">
        <v>103719.5</v>
      </c>
      <c r="H162" s="1">
        <v>106985.25</v>
      </c>
      <c r="I162" s="1">
        <v>114248</v>
      </c>
      <c r="J162">
        <v>87000</v>
      </c>
      <c r="K162" s="38">
        <v>1.1895415435139576</v>
      </c>
    </row>
    <row r="163" spans="2:11" x14ac:dyDescent="0.3">
      <c r="B163" t="s">
        <v>160</v>
      </c>
      <c r="C163" s="2" t="s">
        <v>367</v>
      </c>
      <c r="D163" s="1">
        <v>72</v>
      </c>
      <c r="E163" s="1">
        <v>121852.3</v>
      </c>
      <c r="F163" s="1">
        <v>126319.25</v>
      </c>
      <c r="G163" s="1">
        <v>135325.5</v>
      </c>
      <c r="H163" s="1">
        <v>142800</v>
      </c>
      <c r="I163" s="1">
        <v>149066.70000000001</v>
      </c>
      <c r="J163">
        <v>103000</v>
      </c>
      <c r="K163" s="38">
        <v>1.3138405373054929</v>
      </c>
    </row>
    <row r="164" spans="2:11" x14ac:dyDescent="0.3">
      <c r="B164" t="s">
        <v>161</v>
      </c>
      <c r="C164" s="2" t="s">
        <v>367</v>
      </c>
      <c r="D164" s="1">
        <v>17</v>
      </c>
      <c r="E164" s="1">
        <v>154252.79999999999</v>
      </c>
      <c r="F164" s="1">
        <v>157080</v>
      </c>
      <c r="G164" s="1">
        <v>157871</v>
      </c>
      <c r="H164" s="1">
        <v>165713</v>
      </c>
      <c r="I164" s="1">
        <v>176974.4</v>
      </c>
      <c r="J164">
        <v>123000</v>
      </c>
      <c r="K164" s="38">
        <v>1.3120889792231258</v>
      </c>
    </row>
    <row r="165" spans="2:11" x14ac:dyDescent="0.3">
      <c r="B165" t="s">
        <v>162</v>
      </c>
      <c r="C165" s="2" t="s">
        <v>366</v>
      </c>
      <c r="D165" s="1">
        <v>20</v>
      </c>
      <c r="E165" s="1">
        <v>96206.5</v>
      </c>
      <c r="F165" s="1">
        <v>96961.25</v>
      </c>
      <c r="G165" s="1">
        <v>99710</v>
      </c>
      <c r="H165" s="1">
        <v>100123.75</v>
      </c>
      <c r="I165" s="1">
        <v>102530</v>
      </c>
      <c r="J165">
        <v>98000</v>
      </c>
      <c r="K165" s="38">
        <v>1.0078103241296519</v>
      </c>
    </row>
    <row r="166" spans="2:11" x14ac:dyDescent="0.3">
      <c r="B166" t="s">
        <v>163</v>
      </c>
      <c r="C166" s="2" t="s">
        <v>366</v>
      </c>
      <c r="D166" s="1">
        <v>67</v>
      </c>
      <c r="E166" s="1">
        <v>115699</v>
      </c>
      <c r="F166" s="1">
        <v>117680.5</v>
      </c>
      <c r="G166" s="1">
        <v>118724</v>
      </c>
      <c r="H166" s="1">
        <v>124552</v>
      </c>
      <c r="I166" s="1">
        <v>129944</v>
      </c>
      <c r="J166">
        <v>125000</v>
      </c>
      <c r="K166" s="38">
        <v>0.96101405235042758</v>
      </c>
    </row>
    <row r="167" spans="2:11" x14ac:dyDescent="0.3">
      <c r="B167" t="s">
        <v>164</v>
      </c>
      <c r="C167" s="2" t="s">
        <v>366</v>
      </c>
      <c r="D167" s="1">
        <v>86</v>
      </c>
      <c r="E167" s="1">
        <v>140792.5</v>
      </c>
      <c r="F167" s="1">
        <v>144773.75</v>
      </c>
      <c r="G167" s="1">
        <v>147598.5</v>
      </c>
      <c r="H167" s="1">
        <v>153739.75</v>
      </c>
      <c r="I167" s="1">
        <v>162200</v>
      </c>
      <c r="J167">
        <v>159000</v>
      </c>
      <c r="K167" s="38">
        <v>0.93861994362151668</v>
      </c>
    </row>
    <row r="168" spans="2:11" x14ac:dyDescent="0.3">
      <c r="B168" t="s">
        <v>165</v>
      </c>
      <c r="C168" s="2" t="s">
        <v>366</v>
      </c>
      <c r="D168" s="1">
        <v>110</v>
      </c>
      <c r="E168" s="1">
        <v>172137.5</v>
      </c>
      <c r="F168" s="1">
        <v>174204</v>
      </c>
      <c r="G168" s="1">
        <v>182767.5</v>
      </c>
      <c r="H168" s="1">
        <v>193604.25</v>
      </c>
      <c r="I168" s="1">
        <v>201554.6</v>
      </c>
      <c r="J168">
        <v>202000</v>
      </c>
      <c r="K168" s="38">
        <v>0.91709739289787418</v>
      </c>
    </row>
    <row r="169" spans="2:11" x14ac:dyDescent="0.3">
      <c r="B169" t="s">
        <v>166</v>
      </c>
      <c r="C169" s="2" t="s">
        <v>366</v>
      </c>
      <c r="D169" s="1">
        <v>35</v>
      </c>
      <c r="E169" s="1">
        <v>209640</v>
      </c>
      <c r="F169" s="1">
        <v>216910.5</v>
      </c>
      <c r="G169" s="1">
        <v>227222</v>
      </c>
      <c r="H169" s="1">
        <v>247137.5</v>
      </c>
      <c r="I169" s="1">
        <v>254800</v>
      </c>
      <c r="J169">
        <v>249000</v>
      </c>
      <c r="K169" s="38">
        <v>0.91757601835915092</v>
      </c>
    </row>
    <row r="170" spans="2:11" x14ac:dyDescent="0.3">
      <c r="B170" t="s">
        <v>167</v>
      </c>
      <c r="C170" s="2" t="s">
        <v>366</v>
      </c>
      <c r="D170" s="1">
        <v>13</v>
      </c>
      <c r="E170" s="1">
        <v>103803.2</v>
      </c>
      <c r="F170" s="1">
        <v>111678</v>
      </c>
      <c r="G170" s="1">
        <v>118000</v>
      </c>
      <c r="H170" s="1">
        <v>120237</v>
      </c>
      <c r="I170" s="1">
        <v>125293.8</v>
      </c>
      <c r="J170">
        <v>119000</v>
      </c>
      <c r="K170" s="38">
        <v>0.97652212885154044</v>
      </c>
    </row>
    <row r="171" spans="2:11" x14ac:dyDescent="0.3">
      <c r="B171" t="s">
        <v>168</v>
      </c>
      <c r="C171" s="2" t="s">
        <v>366</v>
      </c>
      <c r="D171" s="1">
        <v>14</v>
      </c>
      <c r="E171" s="1">
        <v>141502.6</v>
      </c>
      <c r="F171" s="1">
        <v>141848</v>
      </c>
      <c r="G171" s="1">
        <v>145998</v>
      </c>
      <c r="H171" s="1">
        <v>147752.25</v>
      </c>
      <c r="I171" s="1">
        <v>157329.20000000001</v>
      </c>
      <c r="J171">
        <v>149000</v>
      </c>
      <c r="K171" s="38">
        <v>0.98489345637583892</v>
      </c>
    </row>
    <row r="172" spans="2:11" x14ac:dyDescent="0.3">
      <c r="B172" t="s">
        <v>169</v>
      </c>
      <c r="C172" s="2" t="s">
        <v>366</v>
      </c>
      <c r="D172" s="1">
        <v>31</v>
      </c>
      <c r="E172" s="1">
        <v>173615</v>
      </c>
      <c r="F172" s="1">
        <v>177558.5</v>
      </c>
      <c r="G172" s="1">
        <v>184206</v>
      </c>
      <c r="H172" s="1">
        <v>195729.5</v>
      </c>
      <c r="I172" s="1">
        <v>200400</v>
      </c>
      <c r="J172">
        <v>186000</v>
      </c>
      <c r="K172" s="38">
        <v>1.0044431148109607</v>
      </c>
    </row>
    <row r="173" spans="2:11" x14ac:dyDescent="0.3">
      <c r="B173" t="s">
        <v>170</v>
      </c>
      <c r="C173" s="2" t="s">
        <v>366</v>
      </c>
      <c r="D173" s="1">
        <v>32</v>
      </c>
      <c r="E173" s="1">
        <v>210106.1</v>
      </c>
      <c r="F173" s="1">
        <v>211941.5</v>
      </c>
      <c r="G173" s="1">
        <v>225953</v>
      </c>
      <c r="H173" s="1">
        <v>235721.5</v>
      </c>
      <c r="I173" s="1">
        <v>245051</v>
      </c>
      <c r="J173">
        <v>224000</v>
      </c>
      <c r="K173" s="38">
        <v>1.0222803865293399</v>
      </c>
    </row>
    <row r="174" spans="2:11" x14ac:dyDescent="0.3">
      <c r="B174" t="s">
        <v>171</v>
      </c>
      <c r="C174" s="2" t="s">
        <v>366</v>
      </c>
      <c r="D174" s="1">
        <v>9</v>
      </c>
      <c r="E174" s="1">
        <v>245314.2</v>
      </c>
      <c r="F174" s="1">
        <v>247680</v>
      </c>
      <c r="G174" s="1">
        <v>252744</v>
      </c>
      <c r="H174" s="1">
        <v>264466</v>
      </c>
      <c r="I174" s="1">
        <v>267724</v>
      </c>
      <c r="J174">
        <v>263000</v>
      </c>
      <c r="K174" s="38">
        <v>0.98787809454231501</v>
      </c>
    </row>
    <row r="175" spans="2:11" x14ac:dyDescent="0.3">
      <c r="B175" t="s">
        <v>172</v>
      </c>
      <c r="C175" s="2" t="s">
        <v>366</v>
      </c>
      <c r="D175" s="1">
        <v>9</v>
      </c>
      <c r="E175" s="1">
        <v>142003.20000000001</v>
      </c>
      <c r="F175" s="1">
        <v>143138</v>
      </c>
      <c r="G175" s="1">
        <v>147640</v>
      </c>
      <c r="H175" s="1">
        <v>157137</v>
      </c>
      <c r="I175" s="1">
        <v>170695</v>
      </c>
      <c r="J175">
        <v>141000</v>
      </c>
      <c r="K175" s="38">
        <v>1.0576578014184397</v>
      </c>
    </row>
    <row r="176" spans="2:11" x14ac:dyDescent="0.3">
      <c r="B176" t="s">
        <v>173</v>
      </c>
      <c r="C176" s="2" t="s">
        <v>366</v>
      </c>
      <c r="D176" s="1">
        <v>7</v>
      </c>
      <c r="E176" s="1">
        <v>167746.20000000001</v>
      </c>
      <c r="F176" s="1">
        <v>171430</v>
      </c>
      <c r="G176" s="1">
        <v>174483</v>
      </c>
      <c r="H176" s="1">
        <v>185222.5</v>
      </c>
      <c r="I176" s="1">
        <v>198311.80000000002</v>
      </c>
      <c r="J176">
        <v>172000</v>
      </c>
      <c r="K176" s="38">
        <v>1.0587709302325581</v>
      </c>
    </row>
    <row r="177" spans="2:11" x14ac:dyDescent="0.3">
      <c r="B177" t="s">
        <v>174</v>
      </c>
      <c r="C177" s="2" t="s">
        <v>366</v>
      </c>
      <c r="D177" s="1">
        <v>7</v>
      </c>
      <c r="E177" s="1">
        <v>110699.2</v>
      </c>
      <c r="F177" s="1">
        <v>115061</v>
      </c>
      <c r="G177" s="1">
        <v>121074</v>
      </c>
      <c r="H177" s="1">
        <v>122168</v>
      </c>
      <c r="I177" s="1">
        <v>125594.2</v>
      </c>
      <c r="J177">
        <v>125000</v>
      </c>
      <c r="K177" s="38">
        <v>0.94820000000000004</v>
      </c>
    </row>
    <row r="178" spans="2:11" x14ac:dyDescent="0.3">
      <c r="B178" t="s">
        <v>175</v>
      </c>
      <c r="C178" s="2" t="s">
        <v>366</v>
      </c>
      <c r="D178" s="1">
        <v>24</v>
      </c>
      <c r="E178" s="1">
        <v>143500.9</v>
      </c>
      <c r="F178" s="1">
        <v>144912.5</v>
      </c>
      <c r="G178" s="1">
        <v>148869</v>
      </c>
      <c r="H178" s="1">
        <v>152318.5</v>
      </c>
      <c r="I178" s="1">
        <v>165142.79999999999</v>
      </c>
      <c r="J178">
        <v>159000</v>
      </c>
      <c r="K178" s="38">
        <v>0.94956523405512661</v>
      </c>
    </row>
    <row r="179" spans="2:11" x14ac:dyDescent="0.3">
      <c r="B179" t="s">
        <v>176</v>
      </c>
      <c r="C179" s="2" t="s">
        <v>366</v>
      </c>
      <c r="D179" s="1">
        <v>33</v>
      </c>
      <c r="E179" s="1">
        <v>179080.2</v>
      </c>
      <c r="F179" s="1">
        <v>179559</v>
      </c>
      <c r="G179" s="1">
        <v>181155</v>
      </c>
      <c r="H179" s="1">
        <v>189242</v>
      </c>
      <c r="I179" s="1">
        <v>201427.6</v>
      </c>
      <c r="J179">
        <v>202000</v>
      </c>
      <c r="K179" s="38">
        <v>0.92381848184818505</v>
      </c>
    </row>
    <row r="180" spans="2:11" x14ac:dyDescent="0.3">
      <c r="B180" t="s">
        <v>177</v>
      </c>
      <c r="C180" s="2" t="s">
        <v>366</v>
      </c>
      <c r="D180" s="1">
        <v>5</v>
      </c>
      <c r="E180" s="1">
        <v>158465.79999999999</v>
      </c>
      <c r="F180" s="1">
        <v>158500</v>
      </c>
      <c r="G180" s="1">
        <v>160500</v>
      </c>
      <c r="H180" s="1">
        <v>168400</v>
      </c>
      <c r="I180" s="1">
        <v>178300</v>
      </c>
      <c r="J180">
        <v>177000</v>
      </c>
      <c r="K180" s="38">
        <v>0.89913935969868175</v>
      </c>
    </row>
    <row r="181" spans="2:11" x14ac:dyDescent="0.3">
      <c r="B181" t="s">
        <v>178</v>
      </c>
      <c r="C181" s="2" t="s">
        <v>366</v>
      </c>
      <c r="D181" s="1">
        <v>7</v>
      </c>
      <c r="E181" s="1">
        <v>172671</v>
      </c>
      <c r="F181" s="1">
        <v>174318.5</v>
      </c>
      <c r="G181" s="1">
        <v>197240</v>
      </c>
      <c r="H181" s="1">
        <v>205760</v>
      </c>
      <c r="I181" s="1">
        <v>207419</v>
      </c>
      <c r="J181">
        <v>186000</v>
      </c>
      <c r="K181" s="38">
        <v>1.026046082949309</v>
      </c>
    </row>
    <row r="182" spans="2:11" x14ac:dyDescent="0.3">
      <c r="B182" t="s">
        <v>179</v>
      </c>
      <c r="C182" s="2" t="s">
        <v>366</v>
      </c>
      <c r="D182" s="1">
        <v>13</v>
      </c>
      <c r="E182" s="1">
        <v>137858.4</v>
      </c>
      <c r="F182" s="1">
        <v>141372</v>
      </c>
      <c r="G182" s="1">
        <v>145475</v>
      </c>
      <c r="H182" s="1">
        <v>155737</v>
      </c>
      <c r="I182" s="1">
        <v>157347.6</v>
      </c>
      <c r="J182">
        <v>132000</v>
      </c>
      <c r="K182" s="38">
        <v>1.1328484848484848</v>
      </c>
    </row>
    <row r="183" spans="2:11" x14ac:dyDescent="0.3">
      <c r="B183" t="s">
        <v>180</v>
      </c>
      <c r="C183" s="2" t="s">
        <v>366</v>
      </c>
      <c r="D183" s="1">
        <v>11</v>
      </c>
      <c r="E183" s="1">
        <v>168930</v>
      </c>
      <c r="F183" s="1">
        <v>172366.5</v>
      </c>
      <c r="G183" s="1">
        <v>174594</v>
      </c>
      <c r="H183" s="1">
        <v>186934.5</v>
      </c>
      <c r="I183" s="1">
        <v>201252</v>
      </c>
      <c r="J183">
        <v>159000</v>
      </c>
      <c r="K183" s="38">
        <v>1.1445622641509434</v>
      </c>
    </row>
    <row r="184" spans="2:11" x14ac:dyDescent="0.3">
      <c r="B184" t="s">
        <v>181</v>
      </c>
      <c r="C184" s="2" t="s">
        <v>366</v>
      </c>
      <c r="D184" s="1">
        <v>16</v>
      </c>
      <c r="E184" s="1">
        <v>89399.5</v>
      </c>
      <c r="F184" s="1">
        <v>92655</v>
      </c>
      <c r="G184" s="1">
        <v>95788</v>
      </c>
      <c r="H184" s="1">
        <v>100402.5</v>
      </c>
      <c r="I184" s="1">
        <v>103437.5</v>
      </c>
      <c r="J184">
        <v>93000</v>
      </c>
      <c r="K184" s="38">
        <v>1.0418064516129033</v>
      </c>
    </row>
    <row r="185" spans="2:11" x14ac:dyDescent="0.3">
      <c r="B185" t="s">
        <v>182</v>
      </c>
      <c r="C185" s="2" t="s">
        <v>366</v>
      </c>
      <c r="D185" s="1">
        <v>122</v>
      </c>
      <c r="E185" s="1">
        <v>105577.60000000001</v>
      </c>
      <c r="F185" s="1">
        <v>108829.75</v>
      </c>
      <c r="G185" s="1">
        <v>113891</v>
      </c>
      <c r="H185" s="1">
        <v>118266.25</v>
      </c>
      <c r="I185" s="1">
        <v>123704.7</v>
      </c>
      <c r="J185">
        <v>116000</v>
      </c>
      <c r="K185" s="38">
        <v>0.9830004469987228</v>
      </c>
    </row>
    <row r="186" spans="2:11" x14ac:dyDescent="0.3">
      <c r="B186" t="s">
        <v>183</v>
      </c>
      <c r="C186" s="2" t="s">
        <v>366</v>
      </c>
      <c r="D186" s="1">
        <v>265</v>
      </c>
      <c r="E186" s="1">
        <v>127123.2</v>
      </c>
      <c r="F186" s="1">
        <v>132870</v>
      </c>
      <c r="G186" s="1">
        <v>138186</v>
      </c>
      <c r="H186" s="1">
        <v>144271</v>
      </c>
      <c r="I186" s="1">
        <v>149951.6</v>
      </c>
      <c r="J186">
        <v>141000</v>
      </c>
      <c r="K186" s="38">
        <v>0.98454511789798793</v>
      </c>
    </row>
    <row r="187" spans="2:11" x14ac:dyDescent="0.3">
      <c r="B187" t="s">
        <v>184</v>
      </c>
      <c r="C187" s="2" t="s">
        <v>366</v>
      </c>
      <c r="D187" s="1">
        <v>367</v>
      </c>
      <c r="E187" s="1">
        <v>158197.20000000001</v>
      </c>
      <c r="F187" s="1">
        <v>164585</v>
      </c>
      <c r="G187" s="1">
        <v>172135</v>
      </c>
      <c r="H187" s="1">
        <v>182236</v>
      </c>
      <c r="I187" s="1">
        <v>190685.2</v>
      </c>
      <c r="J187">
        <v>172000</v>
      </c>
      <c r="K187" s="38">
        <v>1.0122810736667127</v>
      </c>
    </row>
    <row r="188" spans="2:11" x14ac:dyDescent="0.3">
      <c r="B188" t="s">
        <v>185</v>
      </c>
      <c r="C188" s="2" t="s">
        <v>366</v>
      </c>
      <c r="D188" s="1">
        <v>230</v>
      </c>
      <c r="E188" s="1">
        <v>196534.1</v>
      </c>
      <c r="F188" s="1">
        <v>204330.5</v>
      </c>
      <c r="G188" s="1">
        <v>213174.5</v>
      </c>
      <c r="H188" s="1">
        <v>224750.25</v>
      </c>
      <c r="I188" s="1">
        <v>236535.6</v>
      </c>
      <c r="J188">
        <v>208000</v>
      </c>
      <c r="K188" s="38">
        <v>1.0396141969181842</v>
      </c>
    </row>
    <row r="189" spans="2:11" x14ac:dyDescent="0.3">
      <c r="B189" t="s">
        <v>186</v>
      </c>
      <c r="C189" s="2" t="s">
        <v>366</v>
      </c>
      <c r="D189" s="1">
        <v>24</v>
      </c>
      <c r="E189" s="1">
        <v>239570.8</v>
      </c>
      <c r="F189" s="1">
        <v>244601.25</v>
      </c>
      <c r="G189" s="1">
        <v>256402</v>
      </c>
      <c r="H189" s="1">
        <v>264295.25</v>
      </c>
      <c r="I189" s="1">
        <v>271207.5</v>
      </c>
      <c r="J189">
        <v>248000</v>
      </c>
      <c r="K189" s="38">
        <v>1.0371365350389319</v>
      </c>
    </row>
    <row r="190" spans="2:11" x14ac:dyDescent="0.3">
      <c r="B190" t="s">
        <v>187</v>
      </c>
      <c r="C190" s="2" t="s">
        <v>367</v>
      </c>
      <c r="D190" s="1">
        <v>7</v>
      </c>
      <c r="E190" s="1">
        <v>121433</v>
      </c>
      <c r="F190" s="1">
        <v>124354</v>
      </c>
      <c r="G190" s="1">
        <v>129333</v>
      </c>
      <c r="H190" s="1">
        <v>129963.5</v>
      </c>
      <c r="I190" s="1">
        <v>130996</v>
      </c>
      <c r="J190">
        <v>102000</v>
      </c>
      <c r="K190" s="38">
        <v>1.2482521008403362</v>
      </c>
    </row>
    <row r="191" spans="2:11" x14ac:dyDescent="0.3">
      <c r="B191" t="s">
        <v>188</v>
      </c>
      <c r="C191" s="2" t="s">
        <v>367</v>
      </c>
      <c r="D191" s="1">
        <v>6</v>
      </c>
      <c r="E191" s="1">
        <v>147267.5</v>
      </c>
      <c r="F191" s="1">
        <v>151587</v>
      </c>
      <c r="G191" s="1">
        <v>154408</v>
      </c>
      <c r="H191" s="1">
        <v>155081</v>
      </c>
      <c r="I191" s="1">
        <v>171964.5</v>
      </c>
      <c r="J191">
        <v>123000</v>
      </c>
      <c r="K191" s="38">
        <v>1.2835772357723578</v>
      </c>
    </row>
    <row r="192" spans="2:11" x14ac:dyDescent="0.3">
      <c r="B192" t="s">
        <v>189</v>
      </c>
      <c r="C192" s="2" t="s">
        <v>366</v>
      </c>
      <c r="D192" s="1">
        <v>19</v>
      </c>
      <c r="E192" s="1">
        <v>88209.600000000006</v>
      </c>
      <c r="F192" s="1">
        <v>91000</v>
      </c>
      <c r="G192" s="1">
        <v>92721</v>
      </c>
      <c r="H192" s="1">
        <v>94677.5</v>
      </c>
      <c r="I192" s="1">
        <v>96380</v>
      </c>
      <c r="J192">
        <v>90000</v>
      </c>
      <c r="K192" s="38">
        <v>1.0400711538461538</v>
      </c>
    </row>
    <row r="193" spans="2:11" x14ac:dyDescent="0.3">
      <c r="B193" t="s">
        <v>190</v>
      </c>
      <c r="C193" s="2" t="s">
        <v>366</v>
      </c>
      <c r="D193" s="1">
        <v>116</v>
      </c>
      <c r="E193" s="1">
        <v>100685.5</v>
      </c>
      <c r="F193" s="1">
        <v>104817</v>
      </c>
      <c r="G193" s="1">
        <v>107793</v>
      </c>
      <c r="H193" s="1">
        <v>109180</v>
      </c>
      <c r="I193" s="1">
        <v>113007</v>
      </c>
      <c r="J193">
        <v>107000</v>
      </c>
      <c r="K193" s="38">
        <v>1.0120485930790601</v>
      </c>
    </row>
    <row r="194" spans="2:11" x14ac:dyDescent="0.3">
      <c r="B194" t="s">
        <v>191</v>
      </c>
      <c r="C194" s="2" t="s">
        <v>366</v>
      </c>
      <c r="D194" s="1">
        <v>183</v>
      </c>
      <c r="E194" s="1">
        <v>125837.2</v>
      </c>
      <c r="F194" s="1">
        <v>128477.5</v>
      </c>
      <c r="G194" s="1">
        <v>132191</v>
      </c>
      <c r="H194" s="1">
        <v>140818.5</v>
      </c>
      <c r="I194" s="1">
        <v>150806.6</v>
      </c>
      <c r="J194">
        <v>131000</v>
      </c>
      <c r="K194" s="38">
        <v>1.0365658079820681</v>
      </c>
    </row>
    <row r="195" spans="2:11" x14ac:dyDescent="0.3">
      <c r="B195" t="s">
        <v>192</v>
      </c>
      <c r="C195" s="2" t="s">
        <v>366</v>
      </c>
      <c r="D195" s="1">
        <v>199</v>
      </c>
      <c r="E195" s="1">
        <v>154930</v>
      </c>
      <c r="F195" s="1">
        <v>160149.5</v>
      </c>
      <c r="G195" s="1">
        <v>167924</v>
      </c>
      <c r="H195" s="1">
        <v>175604.5</v>
      </c>
      <c r="I195" s="1">
        <v>186995</v>
      </c>
      <c r="J195">
        <v>159000</v>
      </c>
      <c r="K195" s="38">
        <v>1.0644543946140705</v>
      </c>
    </row>
    <row r="196" spans="2:11" x14ac:dyDescent="0.3">
      <c r="B196" t="s">
        <v>193</v>
      </c>
      <c r="C196" s="2" t="s">
        <v>366</v>
      </c>
      <c r="D196" s="1">
        <v>63</v>
      </c>
      <c r="E196" s="1">
        <v>193960</v>
      </c>
      <c r="F196" s="1">
        <v>198757.5</v>
      </c>
      <c r="G196" s="1">
        <v>206432</v>
      </c>
      <c r="H196" s="1">
        <v>221038</v>
      </c>
      <c r="I196" s="1">
        <v>235222.40000000002</v>
      </c>
      <c r="J196">
        <v>195000</v>
      </c>
      <c r="K196" s="38">
        <v>1.0852964183964187</v>
      </c>
    </row>
    <row r="197" spans="2:11" x14ac:dyDescent="0.3">
      <c r="B197" t="s">
        <v>194</v>
      </c>
      <c r="C197" s="2" t="s">
        <v>367</v>
      </c>
      <c r="D197" s="1">
        <v>18</v>
      </c>
      <c r="E197" s="1">
        <v>70288.2</v>
      </c>
      <c r="F197" s="1">
        <v>71023.5</v>
      </c>
      <c r="G197" s="1">
        <v>74896.5</v>
      </c>
      <c r="H197" s="1">
        <v>79560</v>
      </c>
      <c r="I197" s="1">
        <v>82306.7</v>
      </c>
      <c r="J197">
        <v>67000</v>
      </c>
      <c r="K197" s="38">
        <v>1.1212437810945273</v>
      </c>
    </row>
    <row r="198" spans="2:11" x14ac:dyDescent="0.3">
      <c r="B198" t="s">
        <v>195</v>
      </c>
      <c r="C198" s="2" t="s">
        <v>367</v>
      </c>
      <c r="D198" s="1">
        <v>63</v>
      </c>
      <c r="E198" s="1">
        <v>88765.6</v>
      </c>
      <c r="F198" s="1">
        <v>90646</v>
      </c>
      <c r="G198" s="1">
        <v>94386</v>
      </c>
      <c r="H198" s="1">
        <v>103976.5</v>
      </c>
      <c r="I198" s="1">
        <v>112801.8</v>
      </c>
      <c r="J198">
        <v>80000</v>
      </c>
      <c r="K198" s="38">
        <v>1.2317058823529414</v>
      </c>
    </row>
    <row r="199" spans="2:11" x14ac:dyDescent="0.3">
      <c r="B199" t="s">
        <v>196</v>
      </c>
      <c r="C199" s="2" t="s">
        <v>367</v>
      </c>
      <c r="D199" s="1">
        <v>82</v>
      </c>
      <c r="E199" s="1">
        <v>116109.6</v>
      </c>
      <c r="F199" s="1">
        <v>119653</v>
      </c>
      <c r="G199" s="1">
        <v>130463.5</v>
      </c>
      <c r="H199" s="1">
        <v>136735.25</v>
      </c>
      <c r="I199" s="1">
        <v>143294.1</v>
      </c>
      <c r="J199">
        <v>95000</v>
      </c>
      <c r="K199" s="38">
        <v>1.3593083959899748</v>
      </c>
    </row>
    <row r="200" spans="2:11" x14ac:dyDescent="0.3">
      <c r="B200" t="s">
        <v>197</v>
      </c>
      <c r="C200" s="2" t="s">
        <v>367</v>
      </c>
      <c r="D200" s="1">
        <v>11</v>
      </c>
      <c r="E200" s="1">
        <v>139233</v>
      </c>
      <c r="F200" s="1">
        <v>148635</v>
      </c>
      <c r="G200" s="1">
        <v>159800</v>
      </c>
      <c r="H200" s="1">
        <v>164070.5</v>
      </c>
      <c r="I200" s="1">
        <v>176215</v>
      </c>
      <c r="J200">
        <v>113000</v>
      </c>
      <c r="K200" s="38">
        <v>1.3791689460981496</v>
      </c>
    </row>
    <row r="201" spans="2:11" x14ac:dyDescent="0.3">
      <c r="B201" t="s">
        <v>198</v>
      </c>
      <c r="C201" s="2" t="s">
        <v>367</v>
      </c>
      <c r="D201" s="1">
        <v>13</v>
      </c>
      <c r="E201" s="1">
        <v>73250.399999999994</v>
      </c>
      <c r="F201" s="1">
        <v>73500</v>
      </c>
      <c r="G201" s="1">
        <v>79924</v>
      </c>
      <c r="H201" s="1">
        <v>83227</v>
      </c>
      <c r="I201" s="1">
        <v>90450.2</v>
      </c>
      <c r="J201">
        <v>80000</v>
      </c>
      <c r="K201" s="38">
        <v>1.0058019230769228</v>
      </c>
    </row>
    <row r="202" spans="2:11" x14ac:dyDescent="0.3">
      <c r="B202" t="s">
        <v>199</v>
      </c>
      <c r="C202" s="2" t="s">
        <v>367</v>
      </c>
      <c r="D202" s="1">
        <v>5</v>
      </c>
      <c r="E202" s="1">
        <v>109738.2</v>
      </c>
      <c r="F202" s="1">
        <v>127500</v>
      </c>
      <c r="G202" s="1">
        <v>131580</v>
      </c>
      <c r="H202" s="1">
        <v>140760</v>
      </c>
      <c r="I202" s="1">
        <v>148104</v>
      </c>
      <c r="J202">
        <v>95000</v>
      </c>
      <c r="K202" s="38">
        <v>1.3724859649122807</v>
      </c>
    </row>
    <row r="203" spans="2:11" x14ac:dyDescent="0.3">
      <c r="B203" t="s">
        <v>200</v>
      </c>
      <c r="C203" s="2" t="s">
        <v>366</v>
      </c>
      <c r="D203" s="1">
        <v>8</v>
      </c>
      <c r="E203" s="1">
        <v>101894.1</v>
      </c>
      <c r="F203" s="1">
        <v>108069.75</v>
      </c>
      <c r="G203" s="1">
        <v>112873</v>
      </c>
      <c r="H203" s="1">
        <v>114359.75</v>
      </c>
      <c r="I203" s="1">
        <v>115840.1</v>
      </c>
      <c r="J203">
        <v>102000</v>
      </c>
      <c r="K203" s="38">
        <v>1.0858345588235294</v>
      </c>
    </row>
    <row r="204" spans="2:11" x14ac:dyDescent="0.3">
      <c r="B204" t="s">
        <v>201</v>
      </c>
      <c r="C204" s="2" t="s">
        <v>366</v>
      </c>
      <c r="D204" s="1">
        <v>38</v>
      </c>
      <c r="E204" s="1">
        <v>118764.7</v>
      </c>
      <c r="F204" s="1">
        <v>124415</v>
      </c>
      <c r="G204" s="1">
        <v>127673.5</v>
      </c>
      <c r="H204" s="1">
        <v>132720.75</v>
      </c>
      <c r="I204" s="1">
        <v>138124.70000000001</v>
      </c>
      <c r="J204">
        <v>128000</v>
      </c>
      <c r="K204" s="38">
        <v>1.0113197758838381</v>
      </c>
    </row>
    <row r="205" spans="2:11" x14ac:dyDescent="0.3">
      <c r="B205" t="s">
        <v>202</v>
      </c>
      <c r="C205" s="2" t="s">
        <v>366</v>
      </c>
      <c r="D205" s="1">
        <v>25</v>
      </c>
      <c r="E205" s="1">
        <v>150003.4</v>
      </c>
      <c r="F205" s="1">
        <v>151846</v>
      </c>
      <c r="G205" s="1">
        <v>159310</v>
      </c>
      <c r="H205" s="1">
        <v>163633</v>
      </c>
      <c r="I205" s="1">
        <v>168746</v>
      </c>
      <c r="J205">
        <v>162000</v>
      </c>
      <c r="K205" s="38">
        <v>0.97126033279656454</v>
      </c>
    </row>
    <row r="206" spans="2:11" x14ac:dyDescent="0.3">
      <c r="B206" t="s">
        <v>203</v>
      </c>
      <c r="C206" s="2" t="s">
        <v>366</v>
      </c>
      <c r="D206" s="1">
        <v>28</v>
      </c>
      <c r="E206" s="1">
        <v>182226.6</v>
      </c>
      <c r="F206" s="1">
        <v>183732.5</v>
      </c>
      <c r="G206" s="1">
        <v>188130</v>
      </c>
      <c r="H206" s="1">
        <v>195771</v>
      </c>
      <c r="I206" s="1">
        <v>198961.8</v>
      </c>
      <c r="J206">
        <v>204000</v>
      </c>
      <c r="K206" s="38">
        <v>0.93929070758738265</v>
      </c>
    </row>
    <row r="207" spans="2:11" x14ac:dyDescent="0.3">
      <c r="B207" t="s">
        <v>204</v>
      </c>
      <c r="C207" s="2" t="s">
        <v>366</v>
      </c>
      <c r="D207" s="1">
        <v>20</v>
      </c>
      <c r="E207" s="1">
        <v>218704.5</v>
      </c>
      <c r="F207" s="1">
        <v>230591.25</v>
      </c>
      <c r="G207" s="1">
        <v>236925.5</v>
      </c>
      <c r="H207" s="1">
        <v>254528.25</v>
      </c>
      <c r="I207" s="1">
        <v>264437.40000000002</v>
      </c>
      <c r="J207">
        <v>257000</v>
      </c>
      <c r="K207" s="38">
        <v>0.94072484713729854</v>
      </c>
    </row>
    <row r="208" spans="2:11" x14ac:dyDescent="0.3">
      <c r="B208" t="s">
        <v>205</v>
      </c>
      <c r="C208" s="2" t="s">
        <v>366</v>
      </c>
      <c r="D208" s="1">
        <v>6</v>
      </c>
      <c r="E208" s="1">
        <v>276247</v>
      </c>
      <c r="F208" s="1">
        <v>277009.25</v>
      </c>
      <c r="G208" s="1">
        <v>277980</v>
      </c>
      <c r="H208" s="1">
        <v>288356.5</v>
      </c>
      <c r="I208" s="1">
        <v>297791.5</v>
      </c>
      <c r="J208">
        <v>300000</v>
      </c>
      <c r="K208" s="38">
        <v>0.95826087301587304</v>
      </c>
    </row>
    <row r="209" spans="2:11" x14ac:dyDescent="0.3">
      <c r="B209" t="s">
        <v>206</v>
      </c>
      <c r="C209" s="2" t="s">
        <v>366</v>
      </c>
      <c r="D209" s="1">
        <v>32</v>
      </c>
      <c r="E209" s="1">
        <v>80016.899999999994</v>
      </c>
      <c r="F209" s="1">
        <v>81754.75</v>
      </c>
      <c r="G209" s="1">
        <v>81799.5</v>
      </c>
      <c r="H209" s="1">
        <v>85425</v>
      </c>
      <c r="I209" s="1">
        <v>90000</v>
      </c>
      <c r="J209">
        <v>88000</v>
      </c>
      <c r="K209" s="38">
        <v>0.94224665775401062</v>
      </c>
    </row>
    <row r="210" spans="2:11" x14ac:dyDescent="0.3">
      <c r="B210" t="s">
        <v>207</v>
      </c>
      <c r="C210" s="2" t="s">
        <v>366</v>
      </c>
      <c r="D210" s="1">
        <v>142</v>
      </c>
      <c r="E210" s="1">
        <v>97673.7</v>
      </c>
      <c r="F210" s="1">
        <v>100405.5</v>
      </c>
      <c r="G210" s="1">
        <v>102937.5</v>
      </c>
      <c r="H210" s="1">
        <v>105040</v>
      </c>
      <c r="I210" s="1">
        <v>107100</v>
      </c>
      <c r="J210">
        <v>105000</v>
      </c>
      <c r="K210" s="38">
        <v>0.976743663003663</v>
      </c>
    </row>
    <row r="211" spans="2:11" x14ac:dyDescent="0.3">
      <c r="B211" t="s">
        <v>208</v>
      </c>
      <c r="C211" s="2" t="s">
        <v>366</v>
      </c>
      <c r="D211" s="1">
        <v>135</v>
      </c>
      <c r="E211" s="1">
        <v>116759.4</v>
      </c>
      <c r="F211" s="1">
        <v>117941</v>
      </c>
      <c r="G211" s="1">
        <v>123178</v>
      </c>
      <c r="H211" s="1">
        <v>126373.5</v>
      </c>
      <c r="I211" s="1">
        <v>128834.6</v>
      </c>
      <c r="J211">
        <v>126000</v>
      </c>
      <c r="K211" s="38">
        <v>0.97286912972085404</v>
      </c>
    </row>
    <row r="212" spans="2:11" x14ac:dyDescent="0.3">
      <c r="B212" t="s">
        <v>209</v>
      </c>
      <c r="C212" s="2" t="s">
        <v>366</v>
      </c>
      <c r="D212" s="1">
        <v>115</v>
      </c>
      <c r="E212" s="1">
        <v>146511.20000000001</v>
      </c>
      <c r="F212" s="1">
        <v>148004.5</v>
      </c>
      <c r="G212" s="1">
        <v>151950</v>
      </c>
      <c r="H212" s="1">
        <v>156976</v>
      </c>
      <c r="I212" s="1">
        <v>168898.6</v>
      </c>
      <c r="J212">
        <v>154000</v>
      </c>
      <c r="K212" s="38">
        <v>1.0044746863306184</v>
      </c>
    </row>
    <row r="213" spans="2:11" x14ac:dyDescent="0.3">
      <c r="B213" t="s">
        <v>210</v>
      </c>
      <c r="C213" s="2" t="s">
        <v>366</v>
      </c>
      <c r="D213" s="1">
        <v>42</v>
      </c>
      <c r="E213" s="1">
        <v>174762</v>
      </c>
      <c r="F213" s="1">
        <v>179106.25</v>
      </c>
      <c r="G213" s="1">
        <v>184628.5</v>
      </c>
      <c r="H213" s="1">
        <v>189835</v>
      </c>
      <c r="I213" s="1">
        <v>198098.1</v>
      </c>
      <c r="J213">
        <v>188000</v>
      </c>
      <c r="K213" s="38">
        <v>0.98761236126462193</v>
      </c>
    </row>
    <row r="214" spans="2:11" x14ac:dyDescent="0.3">
      <c r="B214" t="s">
        <v>211</v>
      </c>
      <c r="C214" s="2" t="s">
        <v>367</v>
      </c>
      <c r="D214" s="1">
        <v>41</v>
      </c>
      <c r="E214" s="1">
        <v>67320</v>
      </c>
      <c r="F214" s="1">
        <v>67320</v>
      </c>
      <c r="G214" s="1">
        <v>71400</v>
      </c>
      <c r="H214" s="1">
        <v>78900</v>
      </c>
      <c r="I214" s="1">
        <v>79800</v>
      </c>
      <c r="J214">
        <v>76000</v>
      </c>
      <c r="K214" s="38">
        <v>0.90374684210526302</v>
      </c>
    </row>
    <row r="215" spans="2:11" x14ac:dyDescent="0.3">
      <c r="B215" t="s">
        <v>212</v>
      </c>
      <c r="C215" s="2" t="s">
        <v>367</v>
      </c>
      <c r="D215" s="1">
        <v>142</v>
      </c>
      <c r="E215" s="1">
        <v>80784</v>
      </c>
      <c r="F215" s="1">
        <v>83295.75</v>
      </c>
      <c r="G215" s="1">
        <v>85322</v>
      </c>
      <c r="H215" s="1">
        <v>87068</v>
      </c>
      <c r="I215" s="1">
        <v>96503.400000000009</v>
      </c>
      <c r="J215">
        <v>92000</v>
      </c>
      <c r="K215" s="38">
        <v>0.92602513043478329</v>
      </c>
    </row>
    <row r="216" spans="2:11" x14ac:dyDescent="0.3">
      <c r="B216" t="s">
        <v>213</v>
      </c>
      <c r="C216" s="2" t="s">
        <v>367</v>
      </c>
      <c r="D216" s="1">
        <v>158</v>
      </c>
      <c r="E216" s="1">
        <v>102000</v>
      </c>
      <c r="F216" s="1">
        <v>104550</v>
      </c>
      <c r="G216" s="1">
        <v>106641</v>
      </c>
      <c r="H216" s="1">
        <v>112344</v>
      </c>
      <c r="I216" s="1">
        <v>121641.20000000001</v>
      </c>
      <c r="J216">
        <v>112000</v>
      </c>
      <c r="K216" s="38">
        <v>0.98286992814877483</v>
      </c>
    </row>
    <row r="217" spans="2:11" x14ac:dyDescent="0.3">
      <c r="B217" t="s">
        <v>214</v>
      </c>
      <c r="C217" s="2" t="s">
        <v>367</v>
      </c>
      <c r="D217" s="1">
        <v>143</v>
      </c>
      <c r="E217" s="1">
        <v>123369</v>
      </c>
      <c r="F217" s="1">
        <v>125837</v>
      </c>
      <c r="G217" s="1">
        <v>128355</v>
      </c>
      <c r="H217" s="1">
        <v>138675</v>
      </c>
      <c r="I217" s="1">
        <v>148398.39999999999</v>
      </c>
      <c r="J217">
        <v>137000</v>
      </c>
      <c r="K217" s="38">
        <v>0.97232836441080728</v>
      </c>
    </row>
    <row r="218" spans="2:11" x14ac:dyDescent="0.3">
      <c r="B218" t="s">
        <v>215</v>
      </c>
      <c r="C218" s="2" t="s">
        <v>367</v>
      </c>
      <c r="D218" s="1">
        <v>64</v>
      </c>
      <c r="E218" s="1">
        <v>155202.9</v>
      </c>
      <c r="F218" s="1">
        <v>161029</v>
      </c>
      <c r="G218" s="1">
        <v>163734.5</v>
      </c>
      <c r="H218" s="1">
        <v>173619.25</v>
      </c>
      <c r="I218" s="1">
        <v>181637.1</v>
      </c>
      <c r="J218">
        <v>166000</v>
      </c>
      <c r="K218" s="38">
        <v>1.0148150512497747</v>
      </c>
    </row>
    <row r="219" spans="2:11" x14ac:dyDescent="0.3">
      <c r="B219" t="s">
        <v>216</v>
      </c>
      <c r="C219" s="2" t="s">
        <v>366</v>
      </c>
      <c r="D219" s="1">
        <v>25</v>
      </c>
      <c r="E219" s="1">
        <v>109767.2</v>
      </c>
      <c r="F219" s="1">
        <v>111105</v>
      </c>
      <c r="G219" s="1">
        <v>114108</v>
      </c>
      <c r="H219" s="1">
        <v>116000</v>
      </c>
      <c r="I219" s="1">
        <v>117416.4</v>
      </c>
      <c r="J219">
        <v>111000</v>
      </c>
      <c r="K219" s="38">
        <v>1.0323226083226085</v>
      </c>
    </row>
    <row r="220" spans="2:11" x14ac:dyDescent="0.3">
      <c r="B220" t="s">
        <v>217</v>
      </c>
      <c r="C220" s="2" t="s">
        <v>366</v>
      </c>
      <c r="D220" s="1">
        <v>36</v>
      </c>
      <c r="E220" s="1">
        <v>133643.5</v>
      </c>
      <c r="F220" s="1">
        <v>136562.75</v>
      </c>
      <c r="G220" s="1">
        <v>138808</v>
      </c>
      <c r="H220" s="1">
        <v>141848.25</v>
      </c>
      <c r="I220" s="1">
        <v>144816.5</v>
      </c>
      <c r="J220">
        <v>135000</v>
      </c>
      <c r="K220" s="38">
        <v>1.0333207207207209</v>
      </c>
    </row>
    <row r="221" spans="2:11" x14ac:dyDescent="0.3">
      <c r="B221" t="s">
        <v>218</v>
      </c>
      <c r="C221" s="2" t="s">
        <v>366</v>
      </c>
      <c r="D221" s="1">
        <v>54</v>
      </c>
      <c r="E221" s="1">
        <v>161099.5</v>
      </c>
      <c r="F221" s="1">
        <v>165337.5</v>
      </c>
      <c r="G221" s="1">
        <v>170642</v>
      </c>
      <c r="H221" s="1">
        <v>179970.75</v>
      </c>
      <c r="I221" s="1">
        <v>187167.1</v>
      </c>
      <c r="J221">
        <v>166000</v>
      </c>
      <c r="K221" s="38">
        <v>1.0416431058378373</v>
      </c>
    </row>
    <row r="222" spans="2:11" x14ac:dyDescent="0.3">
      <c r="B222" t="s">
        <v>219</v>
      </c>
      <c r="C222" s="2" t="s">
        <v>366</v>
      </c>
      <c r="D222" s="1">
        <v>32</v>
      </c>
      <c r="E222" s="1">
        <v>195285.6</v>
      </c>
      <c r="F222" s="1">
        <v>200770.25</v>
      </c>
      <c r="G222" s="1">
        <v>208749</v>
      </c>
      <c r="H222" s="1">
        <v>221412</v>
      </c>
      <c r="I222" s="1">
        <v>226797</v>
      </c>
      <c r="J222">
        <v>201000</v>
      </c>
      <c r="K222" s="38">
        <v>1.0561820584577115</v>
      </c>
    </row>
    <row r="223" spans="2:11" x14ac:dyDescent="0.3">
      <c r="B223" t="s">
        <v>220</v>
      </c>
      <c r="C223" s="2" t="s">
        <v>366</v>
      </c>
      <c r="D223" s="1">
        <v>8</v>
      </c>
      <c r="E223" s="1">
        <v>101816.7</v>
      </c>
      <c r="F223" s="1">
        <v>106229.25</v>
      </c>
      <c r="G223" s="1">
        <v>111812.5</v>
      </c>
      <c r="H223" s="1">
        <v>120544.25</v>
      </c>
      <c r="I223" s="1">
        <v>122141.9</v>
      </c>
      <c r="J223">
        <v>111000</v>
      </c>
      <c r="K223" s="38">
        <v>1.0074943693693694</v>
      </c>
    </row>
    <row r="224" spans="2:11" x14ac:dyDescent="0.3">
      <c r="B224" t="s">
        <v>221</v>
      </c>
      <c r="C224" s="2" t="s">
        <v>366</v>
      </c>
      <c r="D224" s="1">
        <v>36</v>
      </c>
      <c r="E224" s="1">
        <v>126835</v>
      </c>
      <c r="F224" s="1">
        <v>132834.75</v>
      </c>
      <c r="G224" s="1">
        <v>137652.5</v>
      </c>
      <c r="H224" s="1">
        <v>142103.75</v>
      </c>
      <c r="I224" s="1">
        <v>144082</v>
      </c>
      <c r="J224">
        <v>135000</v>
      </c>
      <c r="K224" s="38">
        <v>1.0220713227513227</v>
      </c>
    </row>
    <row r="225" spans="2:11" x14ac:dyDescent="0.3">
      <c r="B225" t="s">
        <v>222</v>
      </c>
      <c r="C225" s="2" t="s">
        <v>366</v>
      </c>
      <c r="D225" s="1">
        <v>61</v>
      </c>
      <c r="E225" s="1">
        <v>162500</v>
      </c>
      <c r="F225" s="1">
        <v>169818</v>
      </c>
      <c r="G225" s="1">
        <v>177674</v>
      </c>
      <c r="H225" s="1">
        <v>185335</v>
      </c>
      <c r="I225" s="1">
        <v>192425</v>
      </c>
      <c r="J225">
        <v>166000</v>
      </c>
      <c r="K225" s="38">
        <v>1.0739437442076001</v>
      </c>
    </row>
    <row r="226" spans="2:11" x14ac:dyDescent="0.3">
      <c r="B226" t="s">
        <v>223</v>
      </c>
      <c r="C226" s="2" t="s">
        <v>366</v>
      </c>
      <c r="D226" s="1">
        <v>42</v>
      </c>
      <c r="E226" s="1">
        <v>192232.1</v>
      </c>
      <c r="F226" s="1">
        <v>204310.5</v>
      </c>
      <c r="G226" s="1">
        <v>213250</v>
      </c>
      <c r="H226" s="1">
        <v>221142.75</v>
      </c>
      <c r="I226" s="1">
        <v>229389.3</v>
      </c>
      <c r="J226">
        <v>201000</v>
      </c>
      <c r="K226" s="38">
        <v>1.071411701466074</v>
      </c>
    </row>
    <row r="227" spans="2:11" x14ac:dyDescent="0.3">
      <c r="B227" t="s">
        <v>224</v>
      </c>
      <c r="C227" s="2" t="s">
        <v>367</v>
      </c>
      <c r="D227" s="1">
        <v>7</v>
      </c>
      <c r="E227" s="1">
        <v>87126</v>
      </c>
      <c r="F227" s="1">
        <v>87210</v>
      </c>
      <c r="G227" s="1">
        <v>98277</v>
      </c>
      <c r="H227" s="1">
        <v>99881.5</v>
      </c>
      <c r="I227" s="1">
        <v>101428.8</v>
      </c>
      <c r="J227">
        <v>89000</v>
      </c>
      <c r="K227" s="38">
        <v>1.0837319422150882</v>
      </c>
    </row>
    <row r="228" spans="2:11" x14ac:dyDescent="0.3">
      <c r="B228" t="s">
        <v>225</v>
      </c>
      <c r="C228" s="2" t="s">
        <v>367</v>
      </c>
      <c r="D228" s="1">
        <v>5</v>
      </c>
      <c r="E228" s="1">
        <v>82772</v>
      </c>
      <c r="F228" s="1">
        <v>83000</v>
      </c>
      <c r="G228" s="1">
        <v>83000</v>
      </c>
      <c r="H228" s="1">
        <v>88740</v>
      </c>
      <c r="I228" s="1">
        <v>98150.399999999994</v>
      </c>
      <c r="J228">
        <v>85000</v>
      </c>
      <c r="K228" s="38">
        <v>1.0815058823529411</v>
      </c>
    </row>
    <row r="229" spans="2:11" x14ac:dyDescent="0.3">
      <c r="B229" t="s">
        <v>226</v>
      </c>
      <c r="C229" s="2" t="s">
        <v>367</v>
      </c>
      <c r="D229" s="1">
        <v>15</v>
      </c>
      <c r="E229" s="1">
        <v>101719.8</v>
      </c>
      <c r="F229" s="1">
        <v>105555.5</v>
      </c>
      <c r="G229" s="1">
        <v>111025</v>
      </c>
      <c r="H229" s="1">
        <v>114191.5</v>
      </c>
      <c r="I229" s="1">
        <v>118478</v>
      </c>
      <c r="J229">
        <v>106000</v>
      </c>
      <c r="K229" s="38">
        <v>1.0421490566037734</v>
      </c>
    </row>
    <row r="230" spans="2:11" x14ac:dyDescent="0.3">
      <c r="B230" t="s">
        <v>227</v>
      </c>
      <c r="C230" s="2" t="s">
        <v>367</v>
      </c>
      <c r="D230" s="1">
        <v>17</v>
      </c>
      <c r="E230" s="1">
        <v>123063</v>
      </c>
      <c r="F230" s="1">
        <v>124100</v>
      </c>
      <c r="G230" s="1">
        <v>140767</v>
      </c>
      <c r="H230" s="1">
        <v>148602</v>
      </c>
      <c r="I230" s="1">
        <v>158746.4</v>
      </c>
      <c r="J230">
        <v>129000</v>
      </c>
      <c r="K230" s="38">
        <v>1.0878875968992248</v>
      </c>
    </row>
    <row r="231" spans="2:11" x14ac:dyDescent="0.3">
      <c r="B231" t="s">
        <v>228</v>
      </c>
      <c r="C231" s="2" t="s">
        <v>367</v>
      </c>
      <c r="D231" s="1">
        <v>5</v>
      </c>
      <c r="E231" s="1">
        <v>129320.6</v>
      </c>
      <c r="F231" s="1">
        <v>129986</v>
      </c>
      <c r="G231" s="1">
        <v>130160</v>
      </c>
      <c r="H231" s="1">
        <v>134338</v>
      </c>
      <c r="I231" s="1">
        <v>141772.6</v>
      </c>
      <c r="J231">
        <v>136000</v>
      </c>
      <c r="K231" s="38">
        <v>0.97917769607843141</v>
      </c>
    </row>
    <row r="232" spans="2:11" x14ac:dyDescent="0.3">
      <c r="B232" t="s">
        <v>229</v>
      </c>
      <c r="C232" s="2" t="s">
        <v>367</v>
      </c>
      <c r="D232" s="1">
        <v>9</v>
      </c>
      <c r="E232" s="1">
        <v>106080</v>
      </c>
      <c r="F232" s="1">
        <v>108774</v>
      </c>
      <c r="G232" s="1">
        <v>113220</v>
      </c>
      <c r="H232" s="1">
        <v>114214</v>
      </c>
      <c r="I232" s="1">
        <v>116450.4</v>
      </c>
      <c r="J232">
        <v>104000</v>
      </c>
      <c r="K232" s="38">
        <v>1.0776548076923078</v>
      </c>
    </row>
    <row r="233" spans="2:11" x14ac:dyDescent="0.3">
      <c r="B233" t="s">
        <v>230</v>
      </c>
      <c r="C233" s="2" t="s">
        <v>367</v>
      </c>
      <c r="D233" s="1">
        <v>15</v>
      </c>
      <c r="E233" s="1">
        <v>133935.6</v>
      </c>
      <c r="F233" s="1">
        <v>135425</v>
      </c>
      <c r="G233" s="1">
        <v>138543</v>
      </c>
      <c r="H233" s="1">
        <v>145964</v>
      </c>
      <c r="I233" s="1">
        <v>155631.20000000001</v>
      </c>
      <c r="J233">
        <v>132000</v>
      </c>
      <c r="K233" s="38">
        <v>1.0763532196969696</v>
      </c>
    </row>
    <row r="234" spans="2:11" x14ac:dyDescent="0.3">
      <c r="B234" t="s">
        <v>231</v>
      </c>
      <c r="C234" s="2" t="s">
        <v>366</v>
      </c>
      <c r="D234" s="1">
        <v>12</v>
      </c>
      <c r="E234" s="1">
        <v>84810</v>
      </c>
      <c r="F234" s="1">
        <v>84810</v>
      </c>
      <c r="G234" s="1">
        <v>84810</v>
      </c>
      <c r="H234" s="1">
        <v>85626.25</v>
      </c>
      <c r="I234" s="1">
        <v>88475.5</v>
      </c>
      <c r="J234">
        <v>90000</v>
      </c>
      <c r="K234" s="38">
        <v>0.95187037037037037</v>
      </c>
    </row>
    <row r="235" spans="2:11" x14ac:dyDescent="0.3">
      <c r="B235" t="s">
        <v>232</v>
      </c>
      <c r="C235" s="2" t="s">
        <v>366</v>
      </c>
      <c r="D235" s="1">
        <v>16</v>
      </c>
      <c r="E235" s="1">
        <v>96700</v>
      </c>
      <c r="F235" s="1">
        <v>97287.75</v>
      </c>
      <c r="G235" s="1">
        <v>98596.5</v>
      </c>
      <c r="H235" s="1">
        <v>100750</v>
      </c>
      <c r="I235" s="1">
        <v>103856</v>
      </c>
      <c r="J235">
        <v>107000</v>
      </c>
      <c r="K235" s="38">
        <v>0.93731900311526462</v>
      </c>
    </row>
    <row r="236" spans="2:11" x14ac:dyDescent="0.3">
      <c r="B236" t="s">
        <v>233</v>
      </c>
      <c r="C236" s="2" t="s">
        <v>366</v>
      </c>
      <c r="D236" s="1">
        <v>44</v>
      </c>
      <c r="E236" s="1">
        <v>115278.1</v>
      </c>
      <c r="F236" s="1">
        <v>118994</v>
      </c>
      <c r="G236" s="1">
        <v>127993.5</v>
      </c>
      <c r="H236" s="1">
        <v>132826</v>
      </c>
      <c r="I236" s="1">
        <v>141989</v>
      </c>
      <c r="J236">
        <v>131000</v>
      </c>
      <c r="K236" s="38">
        <v>0.96815155464531766</v>
      </c>
    </row>
    <row r="237" spans="2:11" x14ac:dyDescent="0.3">
      <c r="B237" t="s">
        <v>234</v>
      </c>
      <c r="C237" s="2" t="s">
        <v>366</v>
      </c>
      <c r="D237" s="1">
        <v>46</v>
      </c>
      <c r="E237" s="1">
        <v>143000</v>
      </c>
      <c r="F237" s="1">
        <v>150075</v>
      </c>
      <c r="G237" s="1">
        <v>159096.5</v>
      </c>
      <c r="H237" s="1">
        <v>167868.25</v>
      </c>
      <c r="I237" s="1">
        <v>181028.5</v>
      </c>
      <c r="J237">
        <v>159000</v>
      </c>
      <c r="K237" s="38">
        <v>1.0053350584426666</v>
      </c>
    </row>
    <row r="238" spans="2:11" x14ac:dyDescent="0.3">
      <c r="B238" t="s">
        <v>235</v>
      </c>
      <c r="C238" s="2" t="s">
        <v>366</v>
      </c>
      <c r="D238" s="1">
        <v>11</v>
      </c>
      <c r="E238" s="1">
        <v>184362</v>
      </c>
      <c r="F238" s="1">
        <v>188774</v>
      </c>
      <c r="G238" s="1">
        <v>196100</v>
      </c>
      <c r="H238" s="1">
        <v>202749</v>
      </c>
      <c r="I238" s="1">
        <v>206288</v>
      </c>
      <c r="J238">
        <v>195000</v>
      </c>
      <c r="K238" s="38">
        <v>1.0066492307692307</v>
      </c>
    </row>
    <row r="239" spans="2:11" x14ac:dyDescent="0.3">
      <c r="B239" t="s">
        <v>236</v>
      </c>
      <c r="C239" s="2" t="s">
        <v>366</v>
      </c>
      <c r="D239" s="1">
        <v>5</v>
      </c>
      <c r="E239" s="1">
        <v>157583.79999999999</v>
      </c>
      <c r="F239" s="1">
        <v>158875</v>
      </c>
      <c r="G239" s="1">
        <v>159264</v>
      </c>
      <c r="H239" s="1">
        <v>164950</v>
      </c>
      <c r="I239" s="1">
        <v>170726.8</v>
      </c>
      <c r="J239">
        <v>150000</v>
      </c>
      <c r="K239" s="38">
        <v>1.0858533333333333</v>
      </c>
    </row>
    <row r="240" spans="2:11" x14ac:dyDescent="0.3">
      <c r="B240" t="s">
        <v>237</v>
      </c>
      <c r="C240" s="2" t="s">
        <v>366</v>
      </c>
      <c r="D240" s="1">
        <v>16</v>
      </c>
      <c r="E240" s="1">
        <v>109522</v>
      </c>
      <c r="F240" s="1">
        <v>111375</v>
      </c>
      <c r="G240" s="1">
        <v>117082.5</v>
      </c>
      <c r="H240" s="1">
        <v>124358.25</v>
      </c>
      <c r="I240" s="1">
        <v>130150</v>
      </c>
      <c r="J240">
        <v>124000</v>
      </c>
      <c r="K240" s="38">
        <v>0.95979233870967751</v>
      </c>
    </row>
    <row r="241" spans="2:11" x14ac:dyDescent="0.3">
      <c r="B241" t="s">
        <v>238</v>
      </c>
      <c r="C241" s="2" t="s">
        <v>366</v>
      </c>
      <c r="D241" s="1">
        <v>20</v>
      </c>
      <c r="E241" s="1">
        <v>144264</v>
      </c>
      <c r="F241" s="1">
        <v>147473</v>
      </c>
      <c r="G241" s="1">
        <v>156195.5</v>
      </c>
      <c r="H241" s="1">
        <v>170165.5</v>
      </c>
      <c r="I241" s="1">
        <v>180367.1</v>
      </c>
      <c r="J241">
        <v>150000</v>
      </c>
      <c r="K241" s="38">
        <v>1.0737082539682541</v>
      </c>
    </row>
    <row r="242" spans="2:11" x14ac:dyDescent="0.3">
      <c r="B242" t="s">
        <v>239</v>
      </c>
      <c r="C242" s="2" t="s">
        <v>366</v>
      </c>
      <c r="D242" s="1">
        <v>9</v>
      </c>
      <c r="E242" s="1">
        <v>167549.79999999999</v>
      </c>
      <c r="F242" s="1">
        <v>171381</v>
      </c>
      <c r="G242" s="1">
        <v>182346</v>
      </c>
      <c r="H242" s="1">
        <v>191156</v>
      </c>
      <c r="I242" s="1">
        <v>207674.6</v>
      </c>
      <c r="J242">
        <v>181000</v>
      </c>
      <c r="K242" s="38">
        <v>1.0362810773480662</v>
      </c>
    </row>
    <row r="243" spans="2:11" x14ac:dyDescent="0.3">
      <c r="B243" t="s">
        <v>240</v>
      </c>
      <c r="C243" s="2" t="s">
        <v>366</v>
      </c>
      <c r="D243" s="1">
        <v>5</v>
      </c>
      <c r="E243" s="1">
        <v>157276.79999999999</v>
      </c>
      <c r="F243" s="1">
        <v>167862</v>
      </c>
      <c r="G243" s="1">
        <v>178853</v>
      </c>
      <c r="H243" s="1">
        <v>189145</v>
      </c>
      <c r="I243" s="1">
        <v>195524.19999999998</v>
      </c>
      <c r="J243">
        <v>159000</v>
      </c>
      <c r="K243" s="38">
        <v>1.1173679245283017</v>
      </c>
    </row>
    <row r="244" spans="2:11" x14ac:dyDescent="0.3">
      <c r="B244" t="s">
        <v>241</v>
      </c>
      <c r="C244" s="2" t="s">
        <v>366</v>
      </c>
      <c r="D244" s="1">
        <v>5</v>
      </c>
      <c r="E244" s="1">
        <v>99426.4</v>
      </c>
      <c r="F244" s="1">
        <v>100000</v>
      </c>
      <c r="G244" s="1">
        <v>101834</v>
      </c>
      <c r="H244" s="1">
        <v>111550</v>
      </c>
      <c r="I244" s="1">
        <v>111572.2</v>
      </c>
      <c r="J244">
        <v>107000</v>
      </c>
      <c r="K244" s="38">
        <v>0.99068925233644844</v>
      </c>
    </row>
    <row r="245" spans="2:11" x14ac:dyDescent="0.3">
      <c r="B245" t="s">
        <v>242</v>
      </c>
      <c r="C245" s="2" t="s">
        <v>366</v>
      </c>
      <c r="D245" s="1">
        <v>14</v>
      </c>
      <c r="E245" s="1">
        <v>130178.3</v>
      </c>
      <c r="F245" s="1">
        <v>131962.5</v>
      </c>
      <c r="G245" s="1">
        <v>136271</v>
      </c>
      <c r="H245" s="1">
        <v>143093.5</v>
      </c>
      <c r="I245" s="1">
        <v>143954</v>
      </c>
      <c r="J245">
        <v>131000</v>
      </c>
      <c r="K245" s="38">
        <v>1.0450440399295362</v>
      </c>
    </row>
    <row r="246" spans="2:11" x14ac:dyDescent="0.3">
      <c r="B246" t="s">
        <v>243</v>
      </c>
      <c r="C246" s="2" t="s">
        <v>366</v>
      </c>
      <c r="D246" s="1">
        <v>47</v>
      </c>
      <c r="E246" s="1">
        <v>153323.6</v>
      </c>
      <c r="F246" s="1">
        <v>162438.5</v>
      </c>
      <c r="G246" s="1">
        <v>172525</v>
      </c>
      <c r="H246" s="1">
        <v>183060</v>
      </c>
      <c r="I246" s="1">
        <v>192802.8</v>
      </c>
      <c r="J246">
        <v>159000</v>
      </c>
      <c r="K246" s="38">
        <v>1.0873797344514327</v>
      </c>
    </row>
    <row r="247" spans="2:11" x14ac:dyDescent="0.3">
      <c r="B247" t="s">
        <v>244</v>
      </c>
      <c r="C247" s="2" t="s">
        <v>366</v>
      </c>
      <c r="D247" s="1">
        <v>8</v>
      </c>
      <c r="E247" s="1">
        <v>182617.2</v>
      </c>
      <c r="F247" s="1">
        <v>192334.5</v>
      </c>
      <c r="G247" s="1">
        <v>209314.5</v>
      </c>
      <c r="H247" s="1">
        <v>223022.5</v>
      </c>
      <c r="I247" s="1">
        <v>227957.5</v>
      </c>
      <c r="J247">
        <v>195000</v>
      </c>
      <c r="K247" s="38">
        <v>1.0650634615384615</v>
      </c>
    </row>
    <row r="248" spans="2:11" x14ac:dyDescent="0.3">
      <c r="B248" t="s">
        <v>245</v>
      </c>
      <c r="C248" s="2" t="s">
        <v>367</v>
      </c>
      <c r="D248" s="1">
        <v>11</v>
      </c>
      <c r="E248" s="1">
        <v>119653</v>
      </c>
      <c r="F248" s="1">
        <v>123908.5</v>
      </c>
      <c r="G248" s="1">
        <v>132327</v>
      </c>
      <c r="H248" s="1">
        <v>141829.5</v>
      </c>
      <c r="I248" s="1">
        <v>167342</v>
      </c>
      <c r="J248">
        <v>102000</v>
      </c>
      <c r="K248" s="38">
        <v>1.373404411764706</v>
      </c>
    </row>
    <row r="249" spans="2:11" x14ac:dyDescent="0.3">
      <c r="B249" t="s">
        <v>246</v>
      </c>
      <c r="C249" s="2" t="s">
        <v>367</v>
      </c>
      <c r="D249" s="1">
        <v>7</v>
      </c>
      <c r="E249" s="1">
        <v>87547.8</v>
      </c>
      <c r="F249" s="1">
        <v>94738</v>
      </c>
      <c r="G249" s="1">
        <v>108388</v>
      </c>
      <c r="H249" s="1">
        <v>112115</v>
      </c>
      <c r="I249" s="1">
        <v>115565.2</v>
      </c>
      <c r="J249">
        <v>75000</v>
      </c>
      <c r="K249" s="38" t="e">
        <v>#N/A</v>
      </c>
    </row>
    <row r="250" spans="2:11" x14ac:dyDescent="0.3">
      <c r="B250" t="s">
        <v>247</v>
      </c>
      <c r="C250" s="2" t="s">
        <v>367</v>
      </c>
      <c r="D250" s="1">
        <v>15</v>
      </c>
      <c r="E250" s="1">
        <v>74649</v>
      </c>
      <c r="F250" s="1">
        <v>74832</v>
      </c>
      <c r="G250" s="1">
        <v>77529</v>
      </c>
      <c r="H250" s="1">
        <v>85061</v>
      </c>
      <c r="I250" s="1">
        <v>91920</v>
      </c>
      <c r="J250">
        <v>87000</v>
      </c>
      <c r="K250" s="38">
        <v>0.91260716700473299</v>
      </c>
    </row>
    <row r="251" spans="2:11" x14ac:dyDescent="0.3">
      <c r="B251" t="s">
        <v>248</v>
      </c>
      <c r="C251" s="2" t="s">
        <v>367</v>
      </c>
      <c r="D251" s="1">
        <v>79</v>
      </c>
      <c r="E251" s="1">
        <v>87786.4</v>
      </c>
      <c r="F251" s="1">
        <v>91251.5</v>
      </c>
      <c r="G251" s="1">
        <v>95288</v>
      </c>
      <c r="H251" s="1">
        <v>100094</v>
      </c>
      <c r="I251" s="1">
        <v>104641.40000000001</v>
      </c>
      <c r="J251">
        <v>103000</v>
      </c>
      <c r="K251" s="38">
        <v>0.92814786145368666</v>
      </c>
    </row>
    <row r="252" spans="2:11" x14ac:dyDescent="0.3">
      <c r="B252" t="s">
        <v>249</v>
      </c>
      <c r="C252" s="2" t="s">
        <v>367</v>
      </c>
      <c r="D252" s="1">
        <v>93</v>
      </c>
      <c r="E252" s="1">
        <v>110535.8</v>
      </c>
      <c r="F252" s="1">
        <v>113960</v>
      </c>
      <c r="G252" s="1">
        <v>124004</v>
      </c>
      <c r="H252" s="1">
        <v>132813</v>
      </c>
      <c r="I252" s="1">
        <v>139717.20000000001</v>
      </c>
      <c r="J252">
        <v>125000</v>
      </c>
      <c r="K252" s="38">
        <v>0.97657010526315824</v>
      </c>
    </row>
    <row r="253" spans="2:11" x14ac:dyDescent="0.3">
      <c r="B253" t="s">
        <v>250</v>
      </c>
      <c r="C253" s="2" t="s">
        <v>367</v>
      </c>
      <c r="D253" s="1">
        <v>18</v>
      </c>
      <c r="E253" s="1">
        <v>143793</v>
      </c>
      <c r="F253" s="1">
        <v>150000</v>
      </c>
      <c r="G253" s="1">
        <v>155000</v>
      </c>
      <c r="H253" s="1">
        <v>156000</v>
      </c>
      <c r="I253" s="1">
        <v>161289.60000000001</v>
      </c>
      <c r="J253">
        <v>155000</v>
      </c>
      <c r="K253" s="38">
        <v>0.94838104838709658</v>
      </c>
    </row>
    <row r="254" spans="2:11" x14ac:dyDescent="0.3">
      <c r="B254" t="s">
        <v>251</v>
      </c>
      <c r="C254" s="2" t="s">
        <v>367</v>
      </c>
      <c r="D254" s="1">
        <v>6</v>
      </c>
      <c r="E254" s="1">
        <v>81702</v>
      </c>
      <c r="F254" s="1">
        <v>82487.75</v>
      </c>
      <c r="G254" s="1">
        <v>85544</v>
      </c>
      <c r="H254" s="1">
        <v>89545.25</v>
      </c>
      <c r="I254" s="1">
        <v>96573</v>
      </c>
      <c r="J254">
        <v>94000</v>
      </c>
      <c r="K254" s="38">
        <v>0.90665602836879433</v>
      </c>
    </row>
    <row r="255" spans="2:11" x14ac:dyDescent="0.3">
      <c r="B255" t="s">
        <v>252</v>
      </c>
      <c r="C255" s="2" t="s">
        <v>367</v>
      </c>
      <c r="D255" s="1">
        <v>6</v>
      </c>
      <c r="E255" s="1">
        <v>81500</v>
      </c>
      <c r="F255" s="1">
        <v>81500</v>
      </c>
      <c r="G255" s="1">
        <v>81500</v>
      </c>
      <c r="H255" s="1">
        <v>84359.75</v>
      </c>
      <c r="I255" s="1">
        <v>85881.5</v>
      </c>
      <c r="J255">
        <v>91000</v>
      </c>
      <c r="K255" s="38">
        <v>0.87080690737833599</v>
      </c>
    </row>
    <row r="256" spans="2:11" x14ac:dyDescent="0.3">
      <c r="B256" t="s">
        <v>253</v>
      </c>
      <c r="C256" s="2" t="s">
        <v>367</v>
      </c>
      <c r="D256" s="1">
        <v>22</v>
      </c>
      <c r="E256" s="1">
        <v>100376.6</v>
      </c>
      <c r="F256" s="1">
        <v>100570</v>
      </c>
      <c r="G256" s="1">
        <v>104462</v>
      </c>
      <c r="H256" s="1">
        <v>112963</v>
      </c>
      <c r="I256" s="1">
        <v>118414.3</v>
      </c>
      <c r="J256">
        <v>113000</v>
      </c>
      <c r="K256" s="38">
        <v>0.92262345132743362</v>
      </c>
    </row>
    <row r="257" spans="2:11" x14ac:dyDescent="0.3">
      <c r="B257" t="s">
        <v>254</v>
      </c>
      <c r="C257" s="2" t="s">
        <v>367</v>
      </c>
      <c r="D257" s="1">
        <v>24</v>
      </c>
      <c r="E257" s="1">
        <v>125490</v>
      </c>
      <c r="F257" s="1">
        <v>125811.75</v>
      </c>
      <c r="G257" s="1">
        <v>127779</v>
      </c>
      <c r="H257" s="1">
        <v>139103.75</v>
      </c>
      <c r="I257" s="1">
        <v>145769.70000000001</v>
      </c>
      <c r="J257">
        <v>141000</v>
      </c>
      <c r="K257" s="38">
        <v>0.94084701114488367</v>
      </c>
    </row>
    <row r="258" spans="2:11" x14ac:dyDescent="0.3">
      <c r="B258" t="s">
        <v>255</v>
      </c>
      <c r="C258" s="2" t="s">
        <v>367</v>
      </c>
      <c r="D258" s="1">
        <v>20</v>
      </c>
      <c r="E258" s="1">
        <v>129346.7</v>
      </c>
      <c r="F258" s="1">
        <v>130100.75</v>
      </c>
      <c r="G258" s="1">
        <v>137815.5</v>
      </c>
      <c r="H258" s="1">
        <v>144102</v>
      </c>
      <c r="I258" s="1">
        <v>145574.79999999999</v>
      </c>
      <c r="J258">
        <v>147000</v>
      </c>
      <c r="K258" s="38">
        <v>0.93065476190476182</v>
      </c>
    </row>
    <row r="259" spans="2:11" x14ac:dyDescent="0.3">
      <c r="B259" t="s">
        <v>256</v>
      </c>
      <c r="C259" s="2" t="s">
        <v>367</v>
      </c>
      <c r="D259" s="1">
        <v>9</v>
      </c>
      <c r="E259" s="1">
        <v>151644.6</v>
      </c>
      <c r="F259" s="1">
        <v>156825</v>
      </c>
      <c r="G259" s="1">
        <v>162095</v>
      </c>
      <c r="H259" s="1">
        <v>166211</v>
      </c>
      <c r="I259" s="1">
        <v>178147.6</v>
      </c>
      <c r="J259">
        <v>179000</v>
      </c>
      <c r="K259" s="38">
        <v>0.90620335195530743</v>
      </c>
    </row>
    <row r="260" spans="2:11" x14ac:dyDescent="0.3">
      <c r="B260" t="s">
        <v>257</v>
      </c>
      <c r="C260" s="2" t="s">
        <v>367</v>
      </c>
      <c r="D260" s="1">
        <v>5</v>
      </c>
      <c r="E260" s="1">
        <v>71400</v>
      </c>
      <c r="F260" s="1">
        <v>71400</v>
      </c>
      <c r="G260" s="1">
        <v>75000</v>
      </c>
      <c r="H260" s="1">
        <v>81508</v>
      </c>
      <c r="I260" s="1">
        <v>82285.600000000006</v>
      </c>
      <c r="J260">
        <v>65000</v>
      </c>
      <c r="K260" s="38">
        <v>1.1812</v>
      </c>
    </row>
    <row r="261" spans="2:11" x14ac:dyDescent="0.3">
      <c r="B261" t="s">
        <v>258</v>
      </c>
      <c r="C261" s="2" t="s">
        <v>367</v>
      </c>
      <c r="D261" s="1">
        <v>33</v>
      </c>
      <c r="E261" s="1">
        <v>86140</v>
      </c>
      <c r="F261" s="1">
        <v>88868</v>
      </c>
      <c r="G261" s="1">
        <v>92458</v>
      </c>
      <c r="H261" s="1">
        <v>99312</v>
      </c>
      <c r="I261" s="1">
        <v>111196.40000000001</v>
      </c>
      <c r="J261">
        <v>77000</v>
      </c>
      <c r="K261" s="38">
        <v>1.2468508461235739</v>
      </c>
    </row>
    <row r="262" spans="2:11" x14ac:dyDescent="0.3">
      <c r="B262" t="s">
        <v>259</v>
      </c>
      <c r="C262" s="2" t="s">
        <v>367</v>
      </c>
      <c r="D262" s="1">
        <v>15</v>
      </c>
      <c r="E262" s="1">
        <v>101643.2</v>
      </c>
      <c r="F262" s="1">
        <v>102590</v>
      </c>
      <c r="G262" s="1">
        <v>109094</v>
      </c>
      <c r="H262" s="1">
        <v>115970</v>
      </c>
      <c r="I262" s="1">
        <v>121427.8</v>
      </c>
      <c r="J262">
        <v>90000</v>
      </c>
      <c r="K262" s="38">
        <v>1.2237249433106574</v>
      </c>
    </row>
    <row r="263" spans="2:11" x14ac:dyDescent="0.3">
      <c r="B263" t="s">
        <v>260</v>
      </c>
      <c r="C263" s="2" t="s">
        <v>367</v>
      </c>
      <c r="D263" s="1">
        <v>14</v>
      </c>
      <c r="E263" s="1">
        <v>79248.899999999994</v>
      </c>
      <c r="F263" s="1">
        <v>83914.25</v>
      </c>
      <c r="G263" s="1">
        <v>86860</v>
      </c>
      <c r="H263" s="1">
        <v>90000</v>
      </c>
      <c r="I263" s="1">
        <v>101235</v>
      </c>
      <c r="J263">
        <v>90000</v>
      </c>
      <c r="K263" s="38">
        <v>0.98195679012345671</v>
      </c>
    </row>
    <row r="264" spans="2:11" x14ac:dyDescent="0.3">
      <c r="B264" t="s">
        <v>261</v>
      </c>
      <c r="C264" s="2" t="s">
        <v>367</v>
      </c>
      <c r="D264" s="1">
        <v>335</v>
      </c>
      <c r="E264" s="1">
        <v>104550</v>
      </c>
      <c r="F264" s="1">
        <v>107100</v>
      </c>
      <c r="G264" s="1">
        <v>110823</v>
      </c>
      <c r="H264" s="1">
        <v>117037</v>
      </c>
      <c r="I264" s="1">
        <v>122923.20000000001</v>
      </c>
      <c r="J264">
        <v>112000</v>
      </c>
      <c r="K264" s="38">
        <v>1.0009207797249351</v>
      </c>
    </row>
    <row r="265" spans="2:11" x14ac:dyDescent="0.3">
      <c r="B265" t="s">
        <v>262</v>
      </c>
      <c r="C265" s="2" t="s">
        <v>367</v>
      </c>
      <c r="D265" s="1">
        <v>156</v>
      </c>
      <c r="E265" s="1">
        <v>128079</v>
      </c>
      <c r="F265" s="1">
        <v>131503</v>
      </c>
      <c r="G265" s="1">
        <v>134334</v>
      </c>
      <c r="H265" s="1">
        <v>138634</v>
      </c>
      <c r="I265" s="1">
        <v>144867</v>
      </c>
      <c r="J265">
        <v>140000</v>
      </c>
      <c r="K265" s="38">
        <v>0.97107537462537408</v>
      </c>
    </row>
    <row r="266" spans="2:11" x14ac:dyDescent="0.3">
      <c r="B266" t="s">
        <v>263</v>
      </c>
      <c r="C266" s="2" t="s">
        <v>367</v>
      </c>
      <c r="D266" s="1">
        <v>10</v>
      </c>
      <c r="E266" s="1">
        <v>152163.20000000001</v>
      </c>
      <c r="F266" s="1">
        <v>154157.5</v>
      </c>
      <c r="G266" s="1">
        <v>159077.5</v>
      </c>
      <c r="H266" s="1">
        <v>164208</v>
      </c>
      <c r="I266" s="1">
        <v>167698.79999999999</v>
      </c>
      <c r="J266">
        <v>171000</v>
      </c>
      <c r="K266" s="38">
        <v>0.92977582846003892</v>
      </c>
    </row>
    <row r="267" spans="2:11" x14ac:dyDescent="0.3">
      <c r="B267" t="s">
        <v>264</v>
      </c>
      <c r="C267" s="2" t="s">
        <v>367</v>
      </c>
      <c r="D267" s="1">
        <v>8</v>
      </c>
      <c r="E267" s="1">
        <v>70963.199999999997</v>
      </c>
      <c r="F267" s="1">
        <v>72315</v>
      </c>
      <c r="G267" s="1">
        <v>72840</v>
      </c>
      <c r="H267" s="1">
        <v>75990</v>
      </c>
      <c r="I267" s="1">
        <v>79509</v>
      </c>
      <c r="J267">
        <v>73000</v>
      </c>
      <c r="K267" s="38">
        <v>1.0500410958904107</v>
      </c>
    </row>
    <row r="268" spans="2:11" x14ac:dyDescent="0.3">
      <c r="B268" t="s">
        <v>265</v>
      </c>
      <c r="C268" s="2" t="s">
        <v>367</v>
      </c>
      <c r="D268" s="1">
        <v>39</v>
      </c>
      <c r="E268" s="1">
        <v>93636</v>
      </c>
      <c r="F268" s="1">
        <v>97920</v>
      </c>
      <c r="G268" s="1">
        <v>102000</v>
      </c>
      <c r="H268" s="1">
        <v>104040</v>
      </c>
      <c r="I268" s="1">
        <v>107100</v>
      </c>
      <c r="J268">
        <v>86000</v>
      </c>
      <c r="K268" s="38">
        <v>1.1715459444129324</v>
      </c>
    </row>
    <row r="269" spans="2:11" x14ac:dyDescent="0.3">
      <c r="B269" t="s">
        <v>266</v>
      </c>
      <c r="C269" s="2" t="s">
        <v>367</v>
      </c>
      <c r="D269" s="1">
        <v>17</v>
      </c>
      <c r="E269" s="1">
        <v>115464</v>
      </c>
      <c r="F269" s="1">
        <v>122149</v>
      </c>
      <c r="G269" s="1">
        <v>125800</v>
      </c>
      <c r="H269" s="1">
        <v>131580</v>
      </c>
      <c r="I269" s="1">
        <v>140018</v>
      </c>
      <c r="J269">
        <v>101000</v>
      </c>
      <c r="K269" s="38">
        <v>1.2798650338718083</v>
      </c>
    </row>
    <row r="270" spans="2:11" x14ac:dyDescent="0.3">
      <c r="B270" t="s">
        <v>267</v>
      </c>
      <c r="C270" s="2" t="s">
        <v>366</v>
      </c>
      <c r="D270" s="1">
        <v>27</v>
      </c>
      <c r="E270" s="1">
        <v>93979.4</v>
      </c>
      <c r="F270" s="1">
        <v>94276</v>
      </c>
      <c r="G270" s="1">
        <v>98032</v>
      </c>
      <c r="H270" s="1">
        <v>101558.5</v>
      </c>
      <c r="I270" s="1">
        <v>104917.20000000001</v>
      </c>
      <c r="J270">
        <v>105000</v>
      </c>
      <c r="K270" s="38">
        <v>0.94181391941391956</v>
      </c>
    </row>
    <row r="271" spans="2:11" x14ac:dyDescent="0.3">
      <c r="B271" t="s">
        <v>268</v>
      </c>
      <c r="C271" s="2" t="s">
        <v>366</v>
      </c>
      <c r="D271" s="1">
        <v>79</v>
      </c>
      <c r="E271" s="1">
        <v>114969</v>
      </c>
      <c r="F271" s="1">
        <v>118362.5</v>
      </c>
      <c r="G271" s="1">
        <v>122269</v>
      </c>
      <c r="H271" s="1">
        <v>125498.5</v>
      </c>
      <c r="I271" s="1">
        <v>134550.79999999999</v>
      </c>
      <c r="J271">
        <v>126000</v>
      </c>
      <c r="K271" s="38">
        <v>0.98224240323392897</v>
      </c>
    </row>
    <row r="272" spans="2:11" x14ac:dyDescent="0.3">
      <c r="B272" t="s">
        <v>269</v>
      </c>
      <c r="C272" s="2" t="s">
        <v>366</v>
      </c>
      <c r="D272" s="1">
        <v>61</v>
      </c>
      <c r="E272" s="1">
        <v>142692</v>
      </c>
      <c r="F272" s="1">
        <v>148052</v>
      </c>
      <c r="G272" s="1">
        <v>155235</v>
      </c>
      <c r="H272" s="1">
        <v>167444</v>
      </c>
      <c r="I272" s="1">
        <v>179509</v>
      </c>
      <c r="J272">
        <v>154000</v>
      </c>
      <c r="K272" s="38">
        <v>1.0358705779449826</v>
      </c>
    </row>
    <row r="273" spans="2:11" x14ac:dyDescent="0.3">
      <c r="B273" t="s">
        <v>270</v>
      </c>
      <c r="C273" s="2" t="s">
        <v>366</v>
      </c>
      <c r="D273" s="1">
        <v>13</v>
      </c>
      <c r="E273" s="1">
        <v>180456.6</v>
      </c>
      <c r="F273" s="1">
        <v>186199</v>
      </c>
      <c r="G273" s="1">
        <v>192053</v>
      </c>
      <c r="H273" s="1">
        <v>198393</v>
      </c>
      <c r="I273" s="1">
        <v>208304.80000000002</v>
      </c>
      <c r="J273">
        <v>188000</v>
      </c>
      <c r="K273" s="38">
        <v>1.0253301963993455</v>
      </c>
    </row>
    <row r="274" spans="2:11" x14ac:dyDescent="0.3">
      <c r="B274" t="s">
        <v>271</v>
      </c>
      <c r="C274" s="2" t="s">
        <v>366</v>
      </c>
      <c r="D274" s="1">
        <v>5</v>
      </c>
      <c r="E274" s="1">
        <v>99726</v>
      </c>
      <c r="F274" s="1">
        <v>101517</v>
      </c>
      <c r="G274" s="1">
        <v>107000</v>
      </c>
      <c r="H274" s="1">
        <v>107100</v>
      </c>
      <c r="I274" s="1">
        <v>108324</v>
      </c>
      <c r="J274">
        <v>105000</v>
      </c>
      <c r="K274" s="38">
        <v>0.98516428571428571</v>
      </c>
    </row>
    <row r="275" spans="2:11" x14ac:dyDescent="0.3">
      <c r="B275" t="s">
        <v>272</v>
      </c>
      <c r="C275" s="2" t="s">
        <v>366</v>
      </c>
      <c r="D275" s="1">
        <v>7</v>
      </c>
      <c r="E275" s="1">
        <v>126543</v>
      </c>
      <c r="F275" s="1">
        <v>127595</v>
      </c>
      <c r="G275" s="1">
        <v>129000</v>
      </c>
      <c r="H275" s="1">
        <v>142310.5</v>
      </c>
      <c r="I275" s="1">
        <v>149985.79999999999</v>
      </c>
      <c r="J275">
        <v>126000</v>
      </c>
      <c r="K275" s="38">
        <v>1.0910140121962157</v>
      </c>
    </row>
    <row r="276" spans="2:11" x14ac:dyDescent="0.3">
      <c r="B276" t="s">
        <v>273</v>
      </c>
      <c r="C276" s="2" t="s">
        <v>366</v>
      </c>
      <c r="D276" s="1">
        <v>5</v>
      </c>
      <c r="E276" s="1">
        <v>143149.6</v>
      </c>
      <c r="F276" s="1">
        <v>154075</v>
      </c>
      <c r="G276" s="1">
        <v>174885</v>
      </c>
      <c r="H276" s="1">
        <v>185252</v>
      </c>
      <c r="I276" s="1">
        <v>195216.8</v>
      </c>
      <c r="J276">
        <v>154000</v>
      </c>
      <c r="K276" s="38">
        <v>1.1064129870129871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Inputs and Summary</vt:lpstr>
      <vt:lpstr>EIP History</vt:lpstr>
      <vt:lpstr>Overtime</vt:lpstr>
      <vt:lpstr>Skill Code and Units</vt:lpstr>
      <vt:lpstr>Chart Data and Data Validation</vt:lpstr>
      <vt:lpstr>SJC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Kempf</dc:creator>
  <cp:lastModifiedBy>Matthew Kempf</cp:lastModifiedBy>
  <dcterms:created xsi:type="dcterms:W3CDTF">2026-05-18T22:58:34Z</dcterms:created>
  <dcterms:modified xsi:type="dcterms:W3CDTF">2026-08-04T15:24:43Z</dcterms:modified>
</cp:coreProperties>
</file>